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rese Gould Jacinto\Documents\PLR ALL\My Books Complete\"/>
    </mc:Choice>
  </mc:AlternateContent>
  <xr:revisionPtr revIDLastSave="0" documentId="13_ncr:1_{53B1F17F-36FB-4D2C-BEEC-775480ECD3FB}" xr6:coauthVersionLast="43" xr6:coauthVersionMax="43" xr10:uidLastSave="{00000000-0000-0000-0000-000000000000}"/>
  <bookViews>
    <workbookView xWindow="-110" yWindow="-110" windowWidth="19420" windowHeight="10420" xr2:uid="{1E4E8375-B450-4AF3-B397-38DA85C8BB4D}"/>
  </bookViews>
  <sheets>
    <sheet name="House Rate 1" sheetId="4" r:id="rId1"/>
    <sheet name="House Rate 2" sheetId="1" r:id="rId2"/>
    <sheet name="Car rate 1" sheetId="2" r:id="rId3"/>
    <sheet name="Car rate 2" sheetId="3" r:id="rId4"/>
  </sheets>
  <externalReferences>
    <externalReference r:id="rId5"/>
  </externalReferences>
  <definedNames>
    <definedName name="ActualNumberOfPayments" localSheetId="2">IFERROR(IF('Car rate 1'!LoanIsGood,IF('Car rate 1'!PaymentsPerYear=1,1,MATCH(0.01,'Car rate 1'!End_Bal,-1)+1)),"")</definedName>
    <definedName name="ActualNumberOfPayments" localSheetId="3">IFERROR(IF('Car rate 2'!LoanIsGood,IF('Car rate 2'!PaymentsPerYear=1,1,MATCH(0.01,'Car rate 2'!End_Bal,-1)+1)),"")</definedName>
    <definedName name="ActualNumberOfPayments" localSheetId="0">IFERROR(IF('House Rate 1'!LoanIsGood,IF('House Rate 1'!PaymentsPerYear=1,1,MATCH(0.01,'House Rate 1'!End_Bal,-1)+1)),"")</definedName>
    <definedName name="ActualNumberOfPayments" localSheetId="1">IFERROR(IF('House Rate 2'!LoanIsGood,IF('House Rate 2'!PaymentsPerYear=1,1,MATCH(0.01,'House Rate 2'!End_Bal,-1)+1)),"")</definedName>
    <definedName name="ActualNumberOfPayments">IFERROR(IF(LoanIsGood,IF(PaymentsPerYear=1,1,MATCH(0.01,End_Bal,-1)+1)),"")</definedName>
    <definedName name="ColumnTitle1" localSheetId="2">PaymentSchedule43[[#Headers],[PMT NO]]</definedName>
    <definedName name="ColumnTitle1" localSheetId="3">PaymentSchedule434[[#Headers],[PMT NO]]</definedName>
    <definedName name="ColumnTitle1" localSheetId="0">PaymentSchedule45[[#Headers],[PMT NO]]</definedName>
    <definedName name="ColumnTitle1" localSheetId="1">PaymentSchedule4[[#Headers],[PMT NO]]</definedName>
    <definedName name="ColumnTitle1">[1]!PaymentSchedule[[#Headers],[PMT NO]]</definedName>
    <definedName name="End_Bal" localSheetId="2">PaymentSchedule43[ENDING BALANCE]</definedName>
    <definedName name="End_Bal" localSheetId="3">PaymentSchedule434[ENDING BALANCE]</definedName>
    <definedName name="End_Bal" localSheetId="0">PaymentSchedule45[ENDING BALANCE]</definedName>
    <definedName name="End_Bal" localSheetId="1">PaymentSchedule4[ENDING BALANCE]</definedName>
    <definedName name="End_Bal">[1]!PaymentSchedule[ENDING BALANCE]</definedName>
    <definedName name="ExtraPayments" localSheetId="2">'Car rate 1'!$E$10</definedName>
    <definedName name="ExtraPayments" localSheetId="3">'Car rate 2'!$E$10</definedName>
    <definedName name="ExtraPayments" localSheetId="0">'House Rate 1'!$E$13</definedName>
    <definedName name="ExtraPayments" localSheetId="1">'House Rate 2'!$E$13</definedName>
    <definedName name="ExtraPayments">[1]Excavator!$E$9</definedName>
    <definedName name="InterestRate" localSheetId="2">'Car rate 1'!$E$4</definedName>
    <definedName name="InterestRate" localSheetId="3">'Car rate 2'!$E$4</definedName>
    <definedName name="InterestRate" localSheetId="0">'House Rate 1'!$E$4</definedName>
    <definedName name="InterestRate" localSheetId="1">'House Rate 2'!$E$4</definedName>
    <definedName name="InterestRate">[1]Excavator!$E$4</definedName>
    <definedName name="LastCol" localSheetId="2">MATCH(REPT("z",255),'Car rate 1'!$12:$12)</definedName>
    <definedName name="LastCol" localSheetId="3">MATCH(REPT("z",255),'Car rate 2'!$12:$12)</definedName>
    <definedName name="LastCol" localSheetId="0">MATCH(REPT("z",255),'House Rate 1'!$15:$15)</definedName>
    <definedName name="LastCol" localSheetId="1">MATCH(REPT("z",255),'House Rate 2'!$15:$15)</definedName>
    <definedName name="LastCol">MATCH(REPT("z",255),[1]Excavator!$11:$11)</definedName>
    <definedName name="LastRow" localSheetId="2">MATCH(9.99E+307,'Car rate 1'!$B:$B)</definedName>
    <definedName name="LastRow" localSheetId="3">MATCH(9.99E+307,'Car rate 2'!$B:$B)</definedName>
    <definedName name="LastRow" localSheetId="0">MATCH(9.99E+307,'House Rate 1'!$B:$B)</definedName>
    <definedName name="LastRow" localSheetId="1">MATCH(9.99E+307,'House Rate 2'!$B:$B)</definedName>
    <definedName name="LastRow">MATCH(9.99E+307,[1]Excavator!$B:$B)</definedName>
    <definedName name="LenderName" localSheetId="2">'Car rate 1'!$H$10:$I$10</definedName>
    <definedName name="LenderName" localSheetId="3">'Car rate 2'!$H$10:$I$10</definedName>
    <definedName name="LenderName" localSheetId="0">'House Rate 1'!$H$13:$I$13</definedName>
    <definedName name="LenderName" localSheetId="1">'House Rate 2'!$H$13:$I$13</definedName>
    <definedName name="LoanAmount" localSheetId="2">'Car rate 1'!$E$3</definedName>
    <definedName name="LoanAmount" localSheetId="3">'Car rate 2'!$E$3</definedName>
    <definedName name="LoanAmount" localSheetId="0">'House Rate 1'!$E$3</definedName>
    <definedName name="LoanAmount" localSheetId="1">'House Rate 2'!$E$3</definedName>
    <definedName name="LoanAmount">[1]Excavator!$E$3</definedName>
    <definedName name="LoanIsGood" localSheetId="2">('Car rate 1'!$E$3*'Car rate 1'!$E$4*'Car rate 1'!$E$5*'Car rate 1'!$E$7)&gt;0</definedName>
    <definedName name="LoanIsGood" localSheetId="3">('Car rate 2'!$E$3*'Car rate 2'!$E$4*'Car rate 2'!$E$5*'Car rate 2'!$E$7)&gt;0</definedName>
    <definedName name="LoanIsGood" localSheetId="0">('House Rate 1'!$E$3*'House Rate 1'!$E$4*'House Rate 1'!$E$5*'House Rate 1'!$E$7)&gt;0</definedName>
    <definedName name="LoanIsGood" localSheetId="1">('House Rate 2'!$E$3*'House Rate 2'!$E$4*'House Rate 2'!$E$5*'House Rate 2'!$E$7)&gt;0</definedName>
    <definedName name="LoanIsGood">([1]Excavator!$E$3*[1]Excavator!$E$4*[1]Excavator!$E$5*[1]Excavator!$E$7)&gt;0</definedName>
    <definedName name="LoanPeriod" localSheetId="2">'Car rate 1'!$E$5</definedName>
    <definedName name="LoanPeriod" localSheetId="3">'Car rate 2'!$E$5</definedName>
    <definedName name="LoanPeriod" localSheetId="0">'House Rate 1'!$E$5</definedName>
    <definedName name="LoanPeriod" localSheetId="1">'House Rate 2'!$E$5</definedName>
    <definedName name="LoanPeriod">[1]Excavator!$E$5</definedName>
    <definedName name="LoanStartDate" localSheetId="2">'Car rate 1'!$E$7</definedName>
    <definedName name="LoanStartDate" localSheetId="3">'Car rate 2'!$E$7</definedName>
    <definedName name="LoanStartDate" localSheetId="0">'House Rate 1'!$E$7</definedName>
    <definedName name="LoanStartDate" localSheetId="1">'House Rate 2'!$E$7</definedName>
    <definedName name="LoanStartDate">[1]Excavator!$E$7</definedName>
    <definedName name="PaymentsPerYear" localSheetId="2">'Car rate 1'!$E$6</definedName>
    <definedName name="PaymentsPerYear" localSheetId="3">'Car rate 2'!$E$6</definedName>
    <definedName name="PaymentsPerYear" localSheetId="0">'House Rate 1'!$E$6</definedName>
    <definedName name="PaymentsPerYear" localSheetId="1">'House Rate 2'!$E$6</definedName>
    <definedName name="PaymentsPerYear">[1]Excavator!$E$6</definedName>
    <definedName name="_xlnm.Print_Area" localSheetId="2">'Car rate 1'!$A$1:$K$51</definedName>
    <definedName name="_xlnm.Print_Area" localSheetId="3">'Car rate 2'!$A$1:$K$51</definedName>
    <definedName name="_xlnm.Print_Area" localSheetId="0">'House Rate 1'!$A$1:$K$54</definedName>
    <definedName name="_xlnm.Print_Area" localSheetId="1">'House Rate 2'!$A$1:$K$54</definedName>
    <definedName name="_xlnm.Print_Titles" localSheetId="2">'Car rate 1'!$12:$12</definedName>
    <definedName name="_xlnm.Print_Titles" localSheetId="3">'Car rate 2'!$12:$12</definedName>
    <definedName name="_xlnm.Print_Titles" localSheetId="0">'House Rate 1'!$15:$15</definedName>
    <definedName name="_xlnm.Print_Titles" localSheetId="1">'House Rate 2'!$15:$15</definedName>
    <definedName name="PrintArea_SET" localSheetId="2">OFFSET('Car rate 1'!$B$1,,,'Car rate 1'!LastRow,'Car rate 1'!LastCol)</definedName>
    <definedName name="PrintArea_SET" localSheetId="3">OFFSET('Car rate 2'!$B$1,,,'Car rate 2'!LastRow,'Car rate 2'!LastCol)</definedName>
    <definedName name="PrintArea_SET" localSheetId="0">OFFSET('House Rate 1'!$B$1,,,'House Rate 1'!LastRow,'House Rate 1'!LastCol)</definedName>
    <definedName name="PrintArea_SET" localSheetId="1">OFFSET('House Rate 2'!$B$1,,,'House Rate 2'!LastRow,'House Rate 2'!LastCol)</definedName>
    <definedName name="PrintArea_SET">OFFSET([1]Excavator!$B$1,,,LastRow,LastCol)</definedName>
    <definedName name="RowTitleRegion1..E9" localSheetId="2">'Car rate 1'!$C$3:$D$3</definedName>
    <definedName name="RowTitleRegion1..E9" localSheetId="3">'Car rate 2'!$C$3:$D$3</definedName>
    <definedName name="RowTitleRegion1..E9" localSheetId="0">'House Rate 1'!$C$3:$D$3</definedName>
    <definedName name="RowTitleRegion1..E9" localSheetId="1">'House Rate 2'!$C$3:$D$3</definedName>
    <definedName name="RowTitleRegion2..I7" localSheetId="2">'Car rate 1'!$G$3:$H$3</definedName>
    <definedName name="RowTitleRegion2..I7" localSheetId="3">'Car rate 2'!$G$3:$H$3</definedName>
    <definedName name="RowTitleRegion2..I7" localSheetId="0">'House Rate 1'!$G$3:$H$3</definedName>
    <definedName name="RowTitleRegion2..I7" localSheetId="1">'House Rate 2'!$G$3:$H$3</definedName>
    <definedName name="RowTitleRegion3..E9" localSheetId="2">'Car rate 1'!$C$10</definedName>
    <definedName name="RowTitleRegion3..E9" localSheetId="3">'Car rate 2'!$C$10</definedName>
    <definedName name="RowTitleRegion3..E9" localSheetId="0">'House Rate 1'!$C$13</definedName>
    <definedName name="RowTitleRegion3..E9" localSheetId="1">'House Rate 2'!$C$13</definedName>
    <definedName name="RowTitleRegion4..H9" localSheetId="2">'Car rate 1'!$G$10</definedName>
    <definedName name="RowTitleRegion4..H9" localSheetId="3">'Car rate 2'!$G$10</definedName>
    <definedName name="RowTitleRegion4..H9" localSheetId="0">'House Rate 1'!$G$13</definedName>
    <definedName name="RowTitleRegion4..H9" localSheetId="1">'House Rate 2'!$G$13</definedName>
    <definedName name="ScheduledNumberOfPayments" localSheetId="2">'Car rate 1'!$I$4</definedName>
    <definedName name="ScheduledNumberOfPayments" localSheetId="3">'Car rate 2'!$I$4</definedName>
    <definedName name="ScheduledNumberOfPayments" localSheetId="0">'House Rate 1'!$I$4</definedName>
    <definedName name="ScheduledNumberOfPayments" localSheetId="1">'House Rate 2'!$I$4</definedName>
    <definedName name="ScheduledNumberOfPayments">[1]Excavator!$I$4</definedName>
    <definedName name="ScheduledPayment" localSheetId="2">'Car rate 1'!$I$3</definedName>
    <definedName name="ScheduledPayment" localSheetId="3">'Car rate 2'!$I$3</definedName>
    <definedName name="ScheduledPayment" localSheetId="0">'House Rate 1'!$I$3</definedName>
    <definedName name="ScheduledPayment" localSheetId="1">'House Rate 2'!$I$3</definedName>
    <definedName name="ScheduledPayment">[1]Excavator!$I$3</definedName>
    <definedName name="TotalEarlyPayments" localSheetId="2">SUM(PaymentSchedule43[EXTRA PAYMENT])</definedName>
    <definedName name="TotalEarlyPayments" localSheetId="3">SUM(PaymentSchedule434[EXTRA PAYMENT])</definedName>
    <definedName name="TotalEarlyPayments" localSheetId="0">SUM(PaymentSchedule45[EXTRA PAYMENT])</definedName>
    <definedName name="TotalEarlyPayments" localSheetId="1">SUM(PaymentSchedule4[EXTRA PAYMENT])</definedName>
    <definedName name="TotalEarlyPayments">SUM([1]!PaymentSchedule[EXTRA PAYMENT])</definedName>
    <definedName name="TotalInterest" localSheetId="2">SUM(PaymentSchedule43[INTEREST])</definedName>
    <definedName name="TotalInterest" localSheetId="3">SUM(PaymentSchedule434[INTEREST])</definedName>
    <definedName name="TotalInterest" localSheetId="0">SUM(PaymentSchedule45[INTEREST])</definedName>
    <definedName name="TotalInterest" localSheetId="1">SUM(PaymentSchedule4[INTEREST])</definedName>
    <definedName name="TotalInterest">SUM([1]!PaymentSchedule[INTEREST])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4" l="1"/>
  <c r="I9" i="4"/>
  <c r="I8" i="4"/>
  <c r="I4" i="4"/>
  <c r="B32" i="4" s="1"/>
  <c r="I4" i="3"/>
  <c r="B58" i="3" s="1"/>
  <c r="C32" i="4" l="1"/>
  <c r="B16" i="4"/>
  <c r="B24" i="4"/>
  <c r="B28" i="4"/>
  <c r="B375" i="4"/>
  <c r="B373" i="4"/>
  <c r="B371" i="4"/>
  <c r="B369" i="4"/>
  <c r="B367" i="4"/>
  <c r="B365" i="4"/>
  <c r="B363" i="4"/>
  <c r="B361" i="4"/>
  <c r="B359" i="4"/>
  <c r="B357" i="4"/>
  <c r="B355" i="4"/>
  <c r="B353" i="4"/>
  <c r="B351" i="4"/>
  <c r="B349" i="4"/>
  <c r="B347" i="4"/>
  <c r="B345" i="4"/>
  <c r="B374" i="4"/>
  <c r="B366" i="4"/>
  <c r="B358" i="4"/>
  <c r="B350" i="4"/>
  <c r="B344" i="4"/>
  <c r="B343" i="4"/>
  <c r="B372" i="4"/>
  <c r="B364" i="4"/>
  <c r="B356" i="4"/>
  <c r="B348" i="4"/>
  <c r="B341" i="4"/>
  <c r="B339" i="4"/>
  <c r="B337" i="4"/>
  <c r="B335" i="4"/>
  <c r="B333" i="4"/>
  <c r="B331" i="4"/>
  <c r="B329" i="4"/>
  <c r="B327" i="4"/>
  <c r="B325" i="4"/>
  <c r="B323" i="4"/>
  <c r="B321" i="4"/>
  <c r="B319" i="4"/>
  <c r="B370" i="4"/>
  <c r="B362" i="4"/>
  <c r="B354" i="4"/>
  <c r="B346" i="4"/>
  <c r="B368" i="4"/>
  <c r="B340" i="4"/>
  <c r="B332" i="4"/>
  <c r="B324" i="4"/>
  <c r="B318" i="4"/>
  <c r="B360" i="4"/>
  <c r="B338" i="4"/>
  <c r="B330" i="4"/>
  <c r="B322" i="4"/>
  <c r="B314" i="4"/>
  <c r="B312" i="4"/>
  <c r="B310" i="4"/>
  <c r="B308" i="4"/>
  <c r="B306" i="4"/>
  <c r="B304" i="4"/>
  <c r="B302" i="4"/>
  <c r="B300" i="4"/>
  <c r="B298" i="4"/>
  <c r="B296" i="4"/>
  <c r="B294" i="4"/>
  <c r="B292" i="4"/>
  <c r="B352" i="4"/>
  <c r="B336" i="4"/>
  <c r="B328" i="4"/>
  <c r="B320" i="4"/>
  <c r="B316" i="4"/>
  <c r="B315" i="4"/>
  <c r="B309" i="4"/>
  <c r="B301" i="4"/>
  <c r="B293" i="4"/>
  <c r="B342" i="4"/>
  <c r="B307" i="4"/>
  <c r="B299" i="4"/>
  <c r="B291" i="4"/>
  <c r="B289" i="4"/>
  <c r="B287" i="4"/>
  <c r="B285" i="4"/>
  <c r="B283" i="4"/>
  <c r="B281" i="4"/>
  <c r="B279" i="4"/>
  <c r="B277" i="4"/>
  <c r="B275" i="4"/>
  <c r="B273" i="4"/>
  <c r="B271" i="4"/>
  <c r="B269" i="4"/>
  <c r="B267" i="4"/>
  <c r="B265" i="4"/>
  <c r="B263" i="4"/>
  <c r="B261" i="4"/>
  <c r="B259" i="4"/>
  <c r="B257" i="4"/>
  <c r="B255" i="4"/>
  <c r="B253" i="4"/>
  <c r="B251" i="4"/>
  <c r="B249" i="4"/>
  <c r="B247" i="4"/>
  <c r="B245" i="4"/>
  <c r="B243" i="4"/>
  <c r="B241" i="4"/>
  <c r="B239" i="4"/>
  <c r="B237" i="4"/>
  <c r="B235" i="4"/>
  <c r="B233" i="4"/>
  <c r="B334" i="4"/>
  <c r="B317" i="4"/>
  <c r="B313" i="4"/>
  <c r="B305" i="4"/>
  <c r="B297" i="4"/>
  <c r="B311" i="4"/>
  <c r="B290" i="4"/>
  <c r="B282" i="4"/>
  <c r="B274" i="4"/>
  <c r="B270" i="4"/>
  <c r="B266" i="4"/>
  <c r="B262" i="4"/>
  <c r="B258" i="4"/>
  <c r="B254" i="4"/>
  <c r="B250" i="4"/>
  <c r="B246" i="4"/>
  <c r="B242" i="4"/>
  <c r="B238" i="4"/>
  <c r="B234" i="4"/>
  <c r="B231" i="4"/>
  <c r="B229" i="4"/>
  <c r="B227" i="4"/>
  <c r="B225" i="4"/>
  <c r="B223" i="4"/>
  <c r="B221" i="4"/>
  <c r="B219" i="4"/>
  <c r="B217" i="4"/>
  <c r="B215" i="4"/>
  <c r="B213" i="4"/>
  <c r="B211" i="4"/>
  <c r="B209" i="4"/>
  <c r="B207" i="4"/>
  <c r="B205" i="4"/>
  <c r="B203" i="4"/>
  <c r="B201" i="4"/>
  <c r="B199" i="4"/>
  <c r="B197" i="4"/>
  <c r="B195" i="4"/>
  <c r="B303" i="4"/>
  <c r="B288" i="4"/>
  <c r="B280" i="4"/>
  <c r="B295" i="4"/>
  <c r="B286" i="4"/>
  <c r="B278" i="4"/>
  <c r="B272" i="4"/>
  <c r="B268" i="4"/>
  <c r="B264" i="4"/>
  <c r="B260" i="4"/>
  <c r="B256" i="4"/>
  <c r="B252" i="4"/>
  <c r="B248" i="4"/>
  <c r="B244" i="4"/>
  <c r="B240" i="4"/>
  <c r="B236" i="4"/>
  <c r="B232" i="4"/>
  <c r="B230" i="4"/>
  <c r="B228" i="4"/>
  <c r="B226" i="4"/>
  <c r="B224" i="4"/>
  <c r="B222" i="4"/>
  <c r="B220" i="4"/>
  <c r="B218" i="4"/>
  <c r="B216" i="4"/>
  <c r="B214" i="4"/>
  <c r="B212" i="4"/>
  <c r="B210" i="4"/>
  <c r="B208" i="4"/>
  <c r="B206" i="4"/>
  <c r="B204" i="4"/>
  <c r="B202" i="4"/>
  <c r="B200" i="4"/>
  <c r="B198" i="4"/>
  <c r="B196" i="4"/>
  <c r="B194" i="4"/>
  <c r="B192" i="4"/>
  <c r="B326" i="4"/>
  <c r="B191" i="4"/>
  <c r="B189" i="4"/>
  <c r="B187" i="4"/>
  <c r="B185" i="4"/>
  <c r="B183" i="4"/>
  <c r="B181" i="4"/>
  <c r="B179" i="4"/>
  <c r="B177" i="4"/>
  <c r="B175" i="4"/>
  <c r="B173" i="4"/>
  <c r="B171" i="4"/>
  <c r="B169" i="4"/>
  <c r="B167" i="4"/>
  <c r="B165" i="4"/>
  <c r="B163" i="4"/>
  <c r="B161" i="4"/>
  <c r="B159" i="4"/>
  <c r="B157" i="4"/>
  <c r="B155" i="4"/>
  <c r="B153" i="4"/>
  <c r="B151" i="4"/>
  <c r="B149" i="4"/>
  <c r="B147" i="4"/>
  <c r="B145" i="4"/>
  <c r="B143" i="4"/>
  <c r="B284" i="4"/>
  <c r="B276" i="4"/>
  <c r="B190" i="4"/>
  <c r="B188" i="4"/>
  <c r="B186" i="4"/>
  <c r="B184" i="4"/>
  <c r="B182" i="4"/>
  <c r="B180" i="4"/>
  <c r="B178" i="4"/>
  <c r="B176" i="4"/>
  <c r="B174" i="4"/>
  <c r="B172" i="4"/>
  <c r="B170" i="4"/>
  <c r="B168" i="4"/>
  <c r="B166" i="4"/>
  <c r="B164" i="4"/>
  <c r="B162" i="4"/>
  <c r="B160" i="4"/>
  <c r="B158" i="4"/>
  <c r="B156" i="4"/>
  <c r="B154" i="4"/>
  <c r="B152" i="4"/>
  <c r="B150" i="4"/>
  <c r="B148" i="4"/>
  <c r="B146" i="4"/>
  <c r="B144" i="4"/>
  <c r="B142" i="4"/>
  <c r="B140" i="4"/>
  <c r="B138" i="4"/>
  <c r="B136" i="4"/>
  <c r="B134" i="4"/>
  <c r="B132" i="4"/>
  <c r="B130" i="4"/>
  <c r="B137" i="4"/>
  <c r="B193" i="4"/>
  <c r="B139" i="4"/>
  <c r="B131" i="4"/>
  <c r="B129" i="4"/>
  <c r="B127" i="4"/>
  <c r="B125" i="4"/>
  <c r="B123" i="4"/>
  <c r="B121" i="4"/>
  <c r="B119" i="4"/>
  <c r="B117" i="4"/>
  <c r="B115" i="4"/>
  <c r="B113" i="4"/>
  <c r="B111" i="4"/>
  <c r="B109" i="4"/>
  <c r="B107" i="4"/>
  <c r="B105" i="4"/>
  <c r="B103" i="4"/>
  <c r="B101" i="4"/>
  <c r="B99" i="4"/>
  <c r="B97" i="4"/>
  <c r="B95" i="4"/>
  <c r="B141" i="4"/>
  <c r="B133" i="4"/>
  <c r="B135" i="4"/>
  <c r="B128" i="4"/>
  <c r="B126" i="4"/>
  <c r="B124" i="4"/>
  <c r="B122" i="4"/>
  <c r="B116" i="4"/>
  <c r="B108" i="4"/>
  <c r="B100" i="4"/>
  <c r="B114" i="4"/>
  <c r="B106" i="4"/>
  <c r="B98" i="4"/>
  <c r="B93" i="4"/>
  <c r="B91" i="4"/>
  <c r="B89" i="4"/>
  <c r="B87" i="4"/>
  <c r="B85" i="4"/>
  <c r="B83" i="4"/>
  <c r="B81" i="4"/>
  <c r="B79" i="4"/>
  <c r="B77" i="4"/>
  <c r="B75" i="4"/>
  <c r="B73" i="4"/>
  <c r="B71" i="4"/>
  <c r="B69" i="4"/>
  <c r="B67" i="4"/>
  <c r="B65" i="4"/>
  <c r="B63" i="4"/>
  <c r="B61" i="4"/>
  <c r="B59" i="4"/>
  <c r="B57" i="4"/>
  <c r="B55" i="4"/>
  <c r="B53" i="4"/>
  <c r="B51" i="4"/>
  <c r="B49" i="4"/>
  <c r="B47" i="4"/>
  <c r="B45" i="4"/>
  <c r="B43" i="4"/>
  <c r="B41" i="4"/>
  <c r="B39" i="4"/>
  <c r="B37" i="4"/>
  <c r="B35" i="4"/>
  <c r="B33" i="4"/>
  <c r="B120" i="4"/>
  <c r="B112" i="4"/>
  <c r="B104" i="4"/>
  <c r="B96" i="4"/>
  <c r="B118" i="4"/>
  <c r="B110" i="4"/>
  <c r="B102" i="4"/>
  <c r="B94" i="4"/>
  <c r="B92" i="4"/>
  <c r="B90" i="4"/>
  <c r="B88" i="4"/>
  <c r="B86" i="4"/>
  <c r="B84" i="4"/>
  <c r="B82" i="4"/>
  <c r="B80" i="4"/>
  <c r="B78" i="4"/>
  <c r="B76" i="4"/>
  <c r="B74" i="4"/>
  <c r="B72" i="4"/>
  <c r="B70" i="4"/>
  <c r="B68" i="4"/>
  <c r="B66" i="4"/>
  <c r="B64" i="4"/>
  <c r="B62" i="4"/>
  <c r="B60" i="4"/>
  <c r="B58" i="4"/>
  <c r="B56" i="4"/>
  <c r="B54" i="4"/>
  <c r="B52" i="4"/>
  <c r="B50" i="4"/>
  <c r="B48" i="4"/>
  <c r="B46" i="4"/>
  <c r="B44" i="4"/>
  <c r="B42" i="4"/>
  <c r="B40" i="4"/>
  <c r="B38" i="4"/>
  <c r="B36" i="4"/>
  <c r="B34" i="4"/>
  <c r="B17" i="4"/>
  <c r="B19" i="4"/>
  <c r="B21" i="4"/>
  <c r="B23" i="4"/>
  <c r="B25" i="4"/>
  <c r="B27" i="4"/>
  <c r="B29" i="4"/>
  <c r="B31" i="4"/>
  <c r="B20" i="4"/>
  <c r="B22" i="4"/>
  <c r="B30" i="4"/>
  <c r="I3" i="4"/>
  <c r="I11" i="4" s="1"/>
  <c r="B18" i="4"/>
  <c r="B26" i="4"/>
  <c r="C58" i="3"/>
  <c r="B14" i="3"/>
  <c r="B16" i="3"/>
  <c r="B18" i="3"/>
  <c r="B20" i="3"/>
  <c r="B22" i="3"/>
  <c r="B24" i="3"/>
  <c r="B26" i="3"/>
  <c r="B28" i="3"/>
  <c r="B30" i="3"/>
  <c r="B32" i="3"/>
  <c r="B34" i="3"/>
  <c r="B36" i="3"/>
  <c r="B38" i="3"/>
  <c r="B40" i="3"/>
  <c r="B42" i="3"/>
  <c r="B44" i="3"/>
  <c r="B46" i="3"/>
  <c r="B48" i="3"/>
  <c r="B50" i="3"/>
  <c r="B52" i="3"/>
  <c r="B54" i="3"/>
  <c r="B56" i="3"/>
  <c r="B372" i="3"/>
  <c r="B370" i="3"/>
  <c r="B368" i="3"/>
  <c r="B366" i="3"/>
  <c r="B364" i="3"/>
  <c r="B362" i="3"/>
  <c r="B360" i="3"/>
  <c r="B358" i="3"/>
  <c r="B356" i="3"/>
  <c r="B371" i="3"/>
  <c r="B361" i="3"/>
  <c r="B357" i="3"/>
  <c r="B351" i="3"/>
  <c r="B350" i="3"/>
  <c r="B343" i="3"/>
  <c r="B342" i="3"/>
  <c r="B338" i="3"/>
  <c r="B336" i="3"/>
  <c r="B334" i="3"/>
  <c r="B332" i="3"/>
  <c r="B369" i="3"/>
  <c r="B353" i="3"/>
  <c r="B352" i="3"/>
  <c r="B345" i="3"/>
  <c r="B344" i="3"/>
  <c r="B367" i="3"/>
  <c r="B363" i="3"/>
  <c r="B359" i="3"/>
  <c r="B355" i="3"/>
  <c r="B354" i="3"/>
  <c r="B347" i="3"/>
  <c r="B346" i="3"/>
  <c r="B339" i="3"/>
  <c r="B337" i="3"/>
  <c r="B335" i="3"/>
  <c r="B333" i="3"/>
  <c r="B331" i="3"/>
  <c r="B329" i="3"/>
  <c r="B365" i="3"/>
  <c r="B340" i="3"/>
  <c r="B327" i="3"/>
  <c r="B326" i="3"/>
  <c r="B323" i="3"/>
  <c r="B321" i="3"/>
  <c r="B319" i="3"/>
  <c r="B317" i="3"/>
  <c r="B315" i="3"/>
  <c r="B313" i="3"/>
  <c r="B311" i="3"/>
  <c r="B309" i="3"/>
  <c r="B307" i="3"/>
  <c r="B305" i="3"/>
  <c r="B303" i="3"/>
  <c r="B348" i="3"/>
  <c r="B328" i="3"/>
  <c r="B341" i="3"/>
  <c r="B330" i="3"/>
  <c r="B322" i="3"/>
  <c r="B320" i="3"/>
  <c r="B318" i="3"/>
  <c r="B316" i="3"/>
  <c r="B314" i="3"/>
  <c r="B312" i="3"/>
  <c r="B310" i="3"/>
  <c r="B308" i="3"/>
  <c r="B306" i="3"/>
  <c r="B304" i="3"/>
  <c r="B302" i="3"/>
  <c r="B300" i="3"/>
  <c r="B298" i="3"/>
  <c r="B292" i="3"/>
  <c r="B325" i="3"/>
  <c r="B301" i="3"/>
  <c r="B294" i="3"/>
  <c r="B293" i="3"/>
  <c r="B291" i="3"/>
  <c r="B289" i="3"/>
  <c r="B287" i="3"/>
  <c r="B285" i="3"/>
  <c r="B283" i="3"/>
  <c r="B281" i="3"/>
  <c r="B279" i="3"/>
  <c r="B277" i="3"/>
  <c r="B275" i="3"/>
  <c r="B273" i="3"/>
  <c r="B271" i="3"/>
  <c r="B269" i="3"/>
  <c r="B267" i="3"/>
  <c r="B265" i="3"/>
  <c r="B263" i="3"/>
  <c r="B261" i="3"/>
  <c r="B259" i="3"/>
  <c r="B257" i="3"/>
  <c r="B255" i="3"/>
  <c r="B253" i="3"/>
  <c r="B349" i="3"/>
  <c r="B296" i="3"/>
  <c r="B295" i="3"/>
  <c r="B290" i="3"/>
  <c r="B282" i="3"/>
  <c r="B274" i="3"/>
  <c r="B266" i="3"/>
  <c r="B258" i="3"/>
  <c r="B251" i="3"/>
  <c r="B247" i="3"/>
  <c r="B243" i="3"/>
  <c r="B237" i="3"/>
  <c r="B235" i="3"/>
  <c r="B233" i="3"/>
  <c r="B231" i="3"/>
  <c r="B229" i="3"/>
  <c r="B227" i="3"/>
  <c r="B225" i="3"/>
  <c r="B223" i="3"/>
  <c r="B221" i="3"/>
  <c r="B219" i="3"/>
  <c r="B217" i="3"/>
  <c r="B215" i="3"/>
  <c r="B213" i="3"/>
  <c r="B211" i="3"/>
  <c r="B288" i="3"/>
  <c r="B280" i="3"/>
  <c r="B272" i="3"/>
  <c r="B264" i="3"/>
  <c r="B256" i="3"/>
  <c r="B250" i="3"/>
  <c r="B246" i="3"/>
  <c r="B242" i="3"/>
  <c r="B239" i="3"/>
  <c r="B324" i="3"/>
  <c r="B297" i="3"/>
  <c r="B286" i="3"/>
  <c r="B278" i="3"/>
  <c r="B270" i="3"/>
  <c r="B262" i="3"/>
  <c r="B254" i="3"/>
  <c r="B249" i="3"/>
  <c r="B245" i="3"/>
  <c r="B241" i="3"/>
  <c r="B238" i="3"/>
  <c r="B236" i="3"/>
  <c r="B234" i="3"/>
  <c r="B232" i="3"/>
  <c r="B230" i="3"/>
  <c r="B228" i="3"/>
  <c r="B226" i="3"/>
  <c r="B224" i="3"/>
  <c r="B222" i="3"/>
  <c r="B220" i="3"/>
  <c r="B218" i="3"/>
  <c r="B216" i="3"/>
  <c r="B214" i="3"/>
  <c r="B212" i="3"/>
  <c r="B210" i="3"/>
  <c r="B260" i="3"/>
  <c r="B240" i="3"/>
  <c r="B202" i="3"/>
  <c r="B201" i="3"/>
  <c r="B194" i="3"/>
  <c r="B193" i="3"/>
  <c r="B299" i="3"/>
  <c r="B284" i="3"/>
  <c r="B252" i="3"/>
  <c r="B204" i="3"/>
  <c r="B203" i="3"/>
  <c r="B196" i="3"/>
  <c r="B195" i="3"/>
  <c r="B190" i="3"/>
  <c r="B188" i="3"/>
  <c r="B186" i="3"/>
  <c r="B184" i="3"/>
  <c r="B182" i="3"/>
  <c r="B180" i="3"/>
  <c r="B178" i="3"/>
  <c r="B176" i="3"/>
  <c r="B174" i="3"/>
  <c r="B172" i="3"/>
  <c r="B170" i="3"/>
  <c r="B168" i="3"/>
  <c r="B166" i="3"/>
  <c r="B164" i="3"/>
  <c r="B162" i="3"/>
  <c r="B160" i="3"/>
  <c r="B276" i="3"/>
  <c r="B248" i="3"/>
  <c r="B209" i="3"/>
  <c r="B206" i="3"/>
  <c r="B205" i="3"/>
  <c r="B198" i="3"/>
  <c r="B197" i="3"/>
  <c r="B208" i="3"/>
  <c r="B191" i="3"/>
  <c r="B183" i="3"/>
  <c r="B175" i="3"/>
  <c r="B167" i="3"/>
  <c r="B159" i="3"/>
  <c r="B157" i="3"/>
  <c r="B153" i="3"/>
  <c r="B149" i="3"/>
  <c r="B268" i="3"/>
  <c r="B199" i="3"/>
  <c r="B189" i="3"/>
  <c r="B181" i="3"/>
  <c r="B173" i="3"/>
  <c r="B165" i="3"/>
  <c r="B156" i="3"/>
  <c r="B152" i="3"/>
  <c r="B148" i="3"/>
  <c r="B146" i="3"/>
  <c r="B144" i="3"/>
  <c r="B142" i="3"/>
  <c r="B140" i="3"/>
  <c r="B138" i="3"/>
  <c r="B136" i="3"/>
  <c r="B134" i="3"/>
  <c r="B132" i="3"/>
  <c r="B130" i="3"/>
  <c r="B244" i="3"/>
  <c r="B207" i="3"/>
  <c r="B192" i="3"/>
  <c r="B187" i="3"/>
  <c r="B179" i="3"/>
  <c r="B171" i="3"/>
  <c r="B163" i="3"/>
  <c r="B155" i="3"/>
  <c r="B151" i="3"/>
  <c r="B200" i="3"/>
  <c r="B185" i="3"/>
  <c r="B177" i="3"/>
  <c r="B169" i="3"/>
  <c r="B161" i="3"/>
  <c r="B158" i="3"/>
  <c r="B154" i="3"/>
  <c r="B150" i="3"/>
  <c r="B147" i="3"/>
  <c r="B145" i="3"/>
  <c r="B143" i="3"/>
  <c r="B141" i="3"/>
  <c r="B139" i="3"/>
  <c r="B137" i="3"/>
  <c r="B135" i="3"/>
  <c r="B127" i="3"/>
  <c r="B126" i="3"/>
  <c r="B123" i="3"/>
  <c r="B121" i="3"/>
  <c r="B119" i="3"/>
  <c r="B117" i="3"/>
  <c r="B115" i="3"/>
  <c r="B113" i="3"/>
  <c r="B111" i="3"/>
  <c r="B109" i="3"/>
  <c r="B107" i="3"/>
  <c r="B105" i="3"/>
  <c r="B103" i="3"/>
  <c r="B101" i="3"/>
  <c r="B99" i="3"/>
  <c r="B97" i="3"/>
  <c r="B95" i="3"/>
  <c r="B93" i="3"/>
  <c r="B91" i="3"/>
  <c r="B89" i="3"/>
  <c r="B87" i="3"/>
  <c r="B85" i="3"/>
  <c r="B83" i="3"/>
  <c r="B81" i="3"/>
  <c r="B79" i="3"/>
  <c r="B77" i="3"/>
  <c r="B75" i="3"/>
  <c r="B73" i="3"/>
  <c r="B71" i="3"/>
  <c r="B69" i="3"/>
  <c r="B67" i="3"/>
  <c r="B65" i="3"/>
  <c r="B63" i="3"/>
  <c r="B61" i="3"/>
  <c r="B133" i="3"/>
  <c r="B129" i="3"/>
  <c r="B125" i="3"/>
  <c r="B131" i="3"/>
  <c r="B128" i="3"/>
  <c r="B124" i="3"/>
  <c r="B122" i="3"/>
  <c r="B120" i="3"/>
  <c r="B118" i="3"/>
  <c r="B116" i="3"/>
  <c r="B114" i="3"/>
  <c r="B112" i="3"/>
  <c r="B110" i="3"/>
  <c r="B108" i="3"/>
  <c r="B106" i="3"/>
  <c r="B104" i="3"/>
  <c r="B102" i="3"/>
  <c r="B100" i="3"/>
  <c r="B98" i="3"/>
  <c r="B96" i="3"/>
  <c r="B94" i="3"/>
  <c r="B92" i="3"/>
  <c r="B90" i="3"/>
  <c r="B88" i="3"/>
  <c r="B86" i="3"/>
  <c r="B84" i="3"/>
  <c r="B82" i="3"/>
  <c r="B80" i="3"/>
  <c r="B78" i="3"/>
  <c r="B76" i="3"/>
  <c r="B74" i="3"/>
  <c r="B72" i="3"/>
  <c r="B70" i="3"/>
  <c r="B68" i="3"/>
  <c r="B66" i="3"/>
  <c r="B64" i="3"/>
  <c r="B62" i="3"/>
  <c r="I3" i="3"/>
  <c r="I8" i="3" s="1"/>
  <c r="B13" i="3"/>
  <c r="B15" i="3"/>
  <c r="B17" i="3"/>
  <c r="B19" i="3"/>
  <c r="B21" i="3"/>
  <c r="B23" i="3"/>
  <c r="B25" i="3"/>
  <c r="B27" i="3"/>
  <c r="B29" i="3"/>
  <c r="B31" i="3"/>
  <c r="B33" i="3"/>
  <c r="B35" i="3"/>
  <c r="B37" i="3"/>
  <c r="B39" i="3"/>
  <c r="B41" i="3"/>
  <c r="B43" i="3"/>
  <c r="B45" i="3"/>
  <c r="B47" i="3"/>
  <c r="B49" i="3"/>
  <c r="B51" i="3"/>
  <c r="B53" i="3"/>
  <c r="B55" i="3"/>
  <c r="B57" i="3"/>
  <c r="B59" i="3"/>
  <c r="B60" i="3"/>
  <c r="I4" i="2"/>
  <c r="B372" i="2" s="1"/>
  <c r="B15" i="2"/>
  <c r="B31" i="2"/>
  <c r="B41" i="2"/>
  <c r="B43" i="2"/>
  <c r="B51" i="2"/>
  <c r="B55" i="2"/>
  <c r="B27" i="2" l="1"/>
  <c r="B49" i="2"/>
  <c r="B39" i="2"/>
  <c r="B25" i="2"/>
  <c r="B57" i="2"/>
  <c r="B47" i="2"/>
  <c r="B35" i="2"/>
  <c r="B17" i="2"/>
  <c r="E18" i="4"/>
  <c r="C18" i="4"/>
  <c r="C20" i="4"/>
  <c r="E20" i="4"/>
  <c r="C25" i="4"/>
  <c r="E25" i="4"/>
  <c r="C17" i="4"/>
  <c r="E17" i="4"/>
  <c r="E40" i="4"/>
  <c r="C40" i="4"/>
  <c r="E48" i="4"/>
  <c r="C48" i="4"/>
  <c r="E56" i="4"/>
  <c r="C56" i="4"/>
  <c r="E64" i="4"/>
  <c r="C64" i="4"/>
  <c r="E72" i="4"/>
  <c r="C72" i="4"/>
  <c r="E80" i="4"/>
  <c r="C80" i="4"/>
  <c r="E88" i="4"/>
  <c r="C88" i="4"/>
  <c r="E102" i="4"/>
  <c r="C102" i="4"/>
  <c r="E104" i="4"/>
  <c r="C104" i="4"/>
  <c r="C35" i="4"/>
  <c r="E35" i="4"/>
  <c r="C43" i="4"/>
  <c r="E43" i="4"/>
  <c r="C51" i="4"/>
  <c r="E51" i="4"/>
  <c r="C59" i="4"/>
  <c r="E59" i="4"/>
  <c r="C67" i="4"/>
  <c r="E67" i="4"/>
  <c r="C75" i="4"/>
  <c r="E75" i="4"/>
  <c r="C83" i="4"/>
  <c r="E83" i="4"/>
  <c r="C91" i="4"/>
  <c r="E91" i="4"/>
  <c r="E114" i="4"/>
  <c r="C114" i="4"/>
  <c r="E122" i="4"/>
  <c r="C122" i="4"/>
  <c r="E135" i="4"/>
  <c r="C135" i="4"/>
  <c r="C97" i="4"/>
  <c r="E97" i="4"/>
  <c r="C105" i="4"/>
  <c r="E105" i="4"/>
  <c r="C113" i="4"/>
  <c r="E113" i="4"/>
  <c r="C121" i="4"/>
  <c r="E121" i="4"/>
  <c r="C129" i="4"/>
  <c r="E129" i="4"/>
  <c r="E137" i="4"/>
  <c r="C137" i="4"/>
  <c r="E136" i="4"/>
  <c r="C136" i="4"/>
  <c r="C144" i="4"/>
  <c r="E144" i="4"/>
  <c r="C152" i="4"/>
  <c r="E152" i="4"/>
  <c r="C160" i="4"/>
  <c r="E160" i="4"/>
  <c r="C168" i="4"/>
  <c r="E168" i="4"/>
  <c r="C176" i="4"/>
  <c r="E176" i="4"/>
  <c r="C184" i="4"/>
  <c r="E184" i="4"/>
  <c r="E276" i="4"/>
  <c r="C276" i="4"/>
  <c r="E147" i="4"/>
  <c r="C147" i="4"/>
  <c r="E155" i="4"/>
  <c r="C155" i="4"/>
  <c r="E163" i="4"/>
  <c r="C163" i="4"/>
  <c r="E171" i="4"/>
  <c r="C171" i="4"/>
  <c r="E179" i="4"/>
  <c r="C179" i="4"/>
  <c r="E187" i="4"/>
  <c r="C187" i="4"/>
  <c r="C192" i="4"/>
  <c r="E192" i="4"/>
  <c r="C200" i="4"/>
  <c r="E200" i="4"/>
  <c r="C208" i="4"/>
  <c r="E208" i="4"/>
  <c r="C216" i="4"/>
  <c r="E216" i="4"/>
  <c r="C224" i="4"/>
  <c r="E224" i="4"/>
  <c r="E232" i="4"/>
  <c r="C232" i="4"/>
  <c r="E248" i="4"/>
  <c r="C248" i="4"/>
  <c r="E264" i="4"/>
  <c r="C264" i="4"/>
  <c r="E286" i="4"/>
  <c r="C286" i="4"/>
  <c r="E303" i="4"/>
  <c r="C303" i="4"/>
  <c r="E201" i="4"/>
  <c r="C201" i="4"/>
  <c r="E209" i="4"/>
  <c r="C209" i="4"/>
  <c r="E217" i="4"/>
  <c r="C217" i="4"/>
  <c r="E225" i="4"/>
  <c r="C225" i="4"/>
  <c r="E234" i="4"/>
  <c r="C234" i="4"/>
  <c r="E250" i="4"/>
  <c r="C250" i="4"/>
  <c r="E266" i="4"/>
  <c r="C266" i="4"/>
  <c r="E290" i="4"/>
  <c r="C290" i="4"/>
  <c r="E313" i="4"/>
  <c r="C313" i="4"/>
  <c r="C235" i="4"/>
  <c r="E235" i="4"/>
  <c r="C243" i="4"/>
  <c r="E243" i="4"/>
  <c r="C251" i="4"/>
  <c r="E251" i="4"/>
  <c r="C259" i="4"/>
  <c r="E259" i="4"/>
  <c r="C267" i="4"/>
  <c r="E267" i="4"/>
  <c r="C275" i="4"/>
  <c r="E275" i="4"/>
  <c r="C283" i="4"/>
  <c r="E283" i="4"/>
  <c r="C291" i="4"/>
  <c r="E291" i="4"/>
  <c r="E293" i="4"/>
  <c r="C293" i="4"/>
  <c r="C316" i="4"/>
  <c r="E316" i="4"/>
  <c r="E352" i="4"/>
  <c r="C352" i="4"/>
  <c r="C298" i="4"/>
  <c r="E298" i="4"/>
  <c r="C306" i="4"/>
  <c r="E306" i="4"/>
  <c r="C314" i="4"/>
  <c r="E314" i="4"/>
  <c r="E360" i="4"/>
  <c r="C360" i="4"/>
  <c r="E340" i="4"/>
  <c r="C340" i="4"/>
  <c r="E362" i="4"/>
  <c r="C362" i="4"/>
  <c r="C323" i="4"/>
  <c r="E323" i="4"/>
  <c r="C331" i="4"/>
  <c r="E331" i="4"/>
  <c r="C339" i="4"/>
  <c r="E339" i="4"/>
  <c r="E364" i="4"/>
  <c r="C364" i="4"/>
  <c r="E350" i="4"/>
  <c r="C350" i="4"/>
  <c r="C345" i="4"/>
  <c r="E345" i="4"/>
  <c r="C353" i="4"/>
  <c r="E353" i="4"/>
  <c r="C361" i="4"/>
  <c r="E361" i="4"/>
  <c r="C369" i="4"/>
  <c r="E369" i="4"/>
  <c r="E28" i="4"/>
  <c r="C28" i="4"/>
  <c r="C31" i="4"/>
  <c r="E31" i="4"/>
  <c r="C23" i="4"/>
  <c r="E23" i="4"/>
  <c r="C34" i="4"/>
  <c r="E34" i="4"/>
  <c r="E42" i="4"/>
  <c r="C42" i="4"/>
  <c r="E50" i="4"/>
  <c r="C50" i="4"/>
  <c r="E58" i="4"/>
  <c r="C58" i="4"/>
  <c r="E66" i="4"/>
  <c r="C66" i="4"/>
  <c r="E74" i="4"/>
  <c r="C74" i="4"/>
  <c r="E82" i="4"/>
  <c r="C82" i="4"/>
  <c r="E90" i="4"/>
  <c r="C90" i="4"/>
  <c r="E110" i="4"/>
  <c r="C110" i="4"/>
  <c r="E112" i="4"/>
  <c r="C112" i="4"/>
  <c r="E37" i="4"/>
  <c r="C37" i="4"/>
  <c r="C45" i="4"/>
  <c r="E45" i="4"/>
  <c r="C53" i="4"/>
  <c r="E53" i="4"/>
  <c r="C61" i="4"/>
  <c r="E61" i="4"/>
  <c r="C69" i="4"/>
  <c r="E69" i="4"/>
  <c r="C77" i="4"/>
  <c r="E77" i="4"/>
  <c r="C85" i="4"/>
  <c r="E85" i="4"/>
  <c r="C93" i="4"/>
  <c r="E93" i="4"/>
  <c r="E100" i="4"/>
  <c r="C100" i="4"/>
  <c r="E124" i="4"/>
  <c r="C124" i="4"/>
  <c r="E133" i="4"/>
  <c r="C133" i="4"/>
  <c r="C99" i="4"/>
  <c r="E99" i="4"/>
  <c r="C107" i="4"/>
  <c r="E107" i="4"/>
  <c r="C115" i="4"/>
  <c r="E115" i="4"/>
  <c r="C123" i="4"/>
  <c r="E123" i="4"/>
  <c r="C131" i="4"/>
  <c r="E131" i="4"/>
  <c r="C130" i="4"/>
  <c r="E130" i="4"/>
  <c r="C138" i="4"/>
  <c r="E138" i="4"/>
  <c r="C146" i="4"/>
  <c r="E146" i="4"/>
  <c r="C154" i="4"/>
  <c r="E154" i="4"/>
  <c r="C162" i="4"/>
  <c r="E162" i="4"/>
  <c r="C170" i="4"/>
  <c r="E170" i="4"/>
  <c r="C178" i="4"/>
  <c r="E178" i="4"/>
  <c r="C186" i="4"/>
  <c r="E186" i="4"/>
  <c r="E284" i="4"/>
  <c r="C284" i="4"/>
  <c r="E149" i="4"/>
  <c r="C149" i="4"/>
  <c r="E157" i="4"/>
  <c r="C157" i="4"/>
  <c r="E165" i="4"/>
  <c r="C165" i="4"/>
  <c r="E173" i="4"/>
  <c r="C173" i="4"/>
  <c r="E181" i="4"/>
  <c r="C181" i="4"/>
  <c r="E189" i="4"/>
  <c r="C189" i="4"/>
  <c r="C194" i="4"/>
  <c r="E194" i="4"/>
  <c r="C202" i="4"/>
  <c r="E202" i="4"/>
  <c r="C210" i="4"/>
  <c r="E210" i="4"/>
  <c r="C218" i="4"/>
  <c r="E218" i="4"/>
  <c r="C226" i="4"/>
  <c r="E226" i="4"/>
  <c r="E236" i="4"/>
  <c r="C236" i="4"/>
  <c r="E252" i="4"/>
  <c r="C252" i="4"/>
  <c r="E268" i="4"/>
  <c r="C268" i="4"/>
  <c r="E295" i="4"/>
  <c r="C295" i="4"/>
  <c r="E195" i="4"/>
  <c r="C195" i="4"/>
  <c r="E203" i="4"/>
  <c r="C203" i="4"/>
  <c r="E211" i="4"/>
  <c r="C211" i="4"/>
  <c r="E219" i="4"/>
  <c r="C219" i="4"/>
  <c r="E227" i="4"/>
  <c r="C227" i="4"/>
  <c r="E238" i="4"/>
  <c r="C238" i="4"/>
  <c r="E254" i="4"/>
  <c r="C254" i="4"/>
  <c r="E270" i="4"/>
  <c r="C270" i="4"/>
  <c r="E311" i="4"/>
  <c r="C311" i="4"/>
  <c r="E317" i="4"/>
  <c r="C317" i="4"/>
  <c r="C237" i="4"/>
  <c r="E237" i="4"/>
  <c r="C245" i="4"/>
  <c r="E245" i="4"/>
  <c r="C253" i="4"/>
  <c r="E253" i="4"/>
  <c r="C261" i="4"/>
  <c r="E261" i="4"/>
  <c r="C269" i="4"/>
  <c r="E269" i="4"/>
  <c r="C277" i="4"/>
  <c r="E277" i="4"/>
  <c r="C285" i="4"/>
  <c r="E285" i="4"/>
  <c r="E299" i="4"/>
  <c r="C299" i="4"/>
  <c r="E301" i="4"/>
  <c r="C301" i="4"/>
  <c r="E320" i="4"/>
  <c r="C320" i="4"/>
  <c r="E292" i="4"/>
  <c r="C292" i="4"/>
  <c r="C300" i="4"/>
  <c r="E300" i="4"/>
  <c r="C308" i="4"/>
  <c r="E308" i="4"/>
  <c r="E322" i="4"/>
  <c r="C322" i="4"/>
  <c r="E318" i="4"/>
  <c r="C318" i="4"/>
  <c r="E368" i="4"/>
  <c r="C368" i="4"/>
  <c r="E370" i="4"/>
  <c r="C370" i="4"/>
  <c r="C325" i="4"/>
  <c r="E325" i="4"/>
  <c r="C333" i="4"/>
  <c r="E333" i="4"/>
  <c r="C341" i="4"/>
  <c r="E341" i="4"/>
  <c r="E372" i="4"/>
  <c r="C372" i="4"/>
  <c r="E358" i="4"/>
  <c r="C358" i="4"/>
  <c r="C347" i="4"/>
  <c r="E347" i="4"/>
  <c r="C355" i="4"/>
  <c r="E355" i="4"/>
  <c r="C363" i="4"/>
  <c r="E363" i="4"/>
  <c r="C371" i="4"/>
  <c r="E371" i="4"/>
  <c r="E24" i="4"/>
  <c r="C24" i="4"/>
  <c r="E30" i="4"/>
  <c r="C30" i="4"/>
  <c r="E29" i="4"/>
  <c r="C29" i="4"/>
  <c r="E21" i="4"/>
  <c r="C21" i="4"/>
  <c r="E36" i="4"/>
  <c r="C36" i="4"/>
  <c r="E44" i="4"/>
  <c r="C44" i="4"/>
  <c r="E52" i="4"/>
  <c r="C52" i="4"/>
  <c r="E60" i="4"/>
  <c r="C60" i="4"/>
  <c r="E68" i="4"/>
  <c r="C68" i="4"/>
  <c r="E76" i="4"/>
  <c r="C76" i="4"/>
  <c r="E84" i="4"/>
  <c r="C84" i="4"/>
  <c r="E92" i="4"/>
  <c r="C92" i="4"/>
  <c r="E118" i="4"/>
  <c r="C118" i="4"/>
  <c r="E120" i="4"/>
  <c r="C120" i="4"/>
  <c r="E39" i="4"/>
  <c r="C39" i="4"/>
  <c r="C47" i="4"/>
  <c r="E47" i="4"/>
  <c r="C55" i="4"/>
  <c r="E55" i="4"/>
  <c r="C63" i="4"/>
  <c r="E63" i="4"/>
  <c r="C71" i="4"/>
  <c r="E71" i="4"/>
  <c r="C79" i="4"/>
  <c r="E79" i="4"/>
  <c r="C87" i="4"/>
  <c r="E87" i="4"/>
  <c r="E98" i="4"/>
  <c r="C98" i="4"/>
  <c r="E108" i="4"/>
  <c r="C108" i="4"/>
  <c r="E126" i="4"/>
  <c r="C126" i="4"/>
  <c r="E141" i="4"/>
  <c r="C141" i="4"/>
  <c r="C101" i="4"/>
  <c r="E101" i="4"/>
  <c r="C109" i="4"/>
  <c r="E109" i="4"/>
  <c r="C117" i="4"/>
  <c r="E117" i="4"/>
  <c r="C125" i="4"/>
  <c r="E125" i="4"/>
  <c r="C139" i="4"/>
  <c r="E139" i="4"/>
  <c r="C132" i="4"/>
  <c r="E132" i="4"/>
  <c r="C140" i="4"/>
  <c r="E140" i="4"/>
  <c r="C148" i="4"/>
  <c r="E148" i="4"/>
  <c r="C156" i="4"/>
  <c r="E156" i="4"/>
  <c r="C164" i="4"/>
  <c r="E164" i="4"/>
  <c r="C172" i="4"/>
  <c r="E172" i="4"/>
  <c r="C180" i="4"/>
  <c r="E180" i="4"/>
  <c r="C188" i="4"/>
  <c r="E188" i="4"/>
  <c r="E143" i="4"/>
  <c r="C143" i="4"/>
  <c r="E151" i="4"/>
  <c r="C151" i="4"/>
  <c r="E159" i="4"/>
  <c r="C159" i="4"/>
  <c r="E167" i="4"/>
  <c r="C167" i="4"/>
  <c r="E175" i="4"/>
  <c r="C175" i="4"/>
  <c r="E183" i="4"/>
  <c r="C183" i="4"/>
  <c r="E191" i="4"/>
  <c r="C191" i="4"/>
  <c r="C196" i="4"/>
  <c r="E196" i="4"/>
  <c r="C204" i="4"/>
  <c r="E204" i="4"/>
  <c r="C212" i="4"/>
  <c r="E212" i="4"/>
  <c r="C220" i="4"/>
  <c r="E220" i="4"/>
  <c r="C228" i="4"/>
  <c r="E228" i="4"/>
  <c r="E240" i="4"/>
  <c r="C240" i="4"/>
  <c r="E256" i="4"/>
  <c r="C256" i="4"/>
  <c r="E272" i="4"/>
  <c r="C272" i="4"/>
  <c r="E280" i="4"/>
  <c r="C280" i="4"/>
  <c r="E197" i="4"/>
  <c r="C197" i="4"/>
  <c r="E205" i="4"/>
  <c r="C205" i="4"/>
  <c r="E213" i="4"/>
  <c r="C213" i="4"/>
  <c r="E221" i="4"/>
  <c r="C221" i="4"/>
  <c r="E229" i="4"/>
  <c r="C229" i="4"/>
  <c r="E242" i="4"/>
  <c r="C242" i="4"/>
  <c r="E258" i="4"/>
  <c r="C258" i="4"/>
  <c r="E274" i="4"/>
  <c r="C274" i="4"/>
  <c r="E297" i="4"/>
  <c r="C297" i="4"/>
  <c r="E334" i="4"/>
  <c r="C334" i="4"/>
  <c r="C239" i="4"/>
  <c r="E239" i="4"/>
  <c r="C247" i="4"/>
  <c r="E247" i="4"/>
  <c r="C255" i="4"/>
  <c r="E255" i="4"/>
  <c r="C263" i="4"/>
  <c r="E263" i="4"/>
  <c r="C271" i="4"/>
  <c r="E271" i="4"/>
  <c r="C279" i="4"/>
  <c r="E279" i="4"/>
  <c r="C287" i="4"/>
  <c r="E287" i="4"/>
  <c r="E307" i="4"/>
  <c r="C307" i="4"/>
  <c r="E309" i="4"/>
  <c r="C309" i="4"/>
  <c r="E328" i="4"/>
  <c r="C328" i="4"/>
  <c r="C294" i="4"/>
  <c r="E294" i="4"/>
  <c r="C302" i="4"/>
  <c r="E302" i="4"/>
  <c r="C310" i="4"/>
  <c r="E310" i="4"/>
  <c r="E330" i="4"/>
  <c r="C330" i="4"/>
  <c r="E324" i="4"/>
  <c r="C324" i="4"/>
  <c r="E346" i="4"/>
  <c r="C346" i="4"/>
  <c r="C319" i="4"/>
  <c r="E319" i="4"/>
  <c r="C327" i="4"/>
  <c r="E327" i="4"/>
  <c r="C335" i="4"/>
  <c r="E335" i="4"/>
  <c r="E348" i="4"/>
  <c r="C348" i="4"/>
  <c r="E343" i="4"/>
  <c r="C343" i="4"/>
  <c r="E366" i="4"/>
  <c r="C366" i="4"/>
  <c r="C349" i="4"/>
  <c r="E349" i="4"/>
  <c r="C357" i="4"/>
  <c r="E357" i="4"/>
  <c r="C365" i="4"/>
  <c r="E365" i="4"/>
  <c r="C373" i="4"/>
  <c r="E373" i="4"/>
  <c r="E16" i="4"/>
  <c r="C16" i="4"/>
  <c r="D16" i="4"/>
  <c r="I16" i="4" s="1"/>
  <c r="C26" i="4"/>
  <c r="E26" i="4"/>
  <c r="E22" i="4"/>
  <c r="C22" i="4"/>
  <c r="E27" i="4"/>
  <c r="C27" i="4"/>
  <c r="C19" i="4"/>
  <c r="E19" i="4"/>
  <c r="C38" i="4"/>
  <c r="E38" i="4"/>
  <c r="E46" i="4"/>
  <c r="C46" i="4"/>
  <c r="E54" i="4"/>
  <c r="C54" i="4"/>
  <c r="E62" i="4"/>
  <c r="C62" i="4"/>
  <c r="E70" i="4"/>
  <c r="C70" i="4"/>
  <c r="E78" i="4"/>
  <c r="C78" i="4"/>
  <c r="E86" i="4"/>
  <c r="C86" i="4"/>
  <c r="E94" i="4"/>
  <c r="C94" i="4"/>
  <c r="E96" i="4"/>
  <c r="C96" i="4"/>
  <c r="E33" i="4"/>
  <c r="C33" i="4"/>
  <c r="C41" i="4"/>
  <c r="E41" i="4"/>
  <c r="C49" i="4"/>
  <c r="E49" i="4"/>
  <c r="C57" i="4"/>
  <c r="E57" i="4"/>
  <c r="C65" i="4"/>
  <c r="E65" i="4"/>
  <c r="C73" i="4"/>
  <c r="E73" i="4"/>
  <c r="C81" i="4"/>
  <c r="E81" i="4"/>
  <c r="C89" i="4"/>
  <c r="E89" i="4"/>
  <c r="E106" i="4"/>
  <c r="C106" i="4"/>
  <c r="E116" i="4"/>
  <c r="C116" i="4"/>
  <c r="E128" i="4"/>
  <c r="C128" i="4"/>
  <c r="E95" i="4"/>
  <c r="C95" i="4"/>
  <c r="C103" i="4"/>
  <c r="E103" i="4"/>
  <c r="C111" i="4"/>
  <c r="E111" i="4"/>
  <c r="C119" i="4"/>
  <c r="E119" i="4"/>
  <c r="C127" i="4"/>
  <c r="E127" i="4"/>
  <c r="E193" i="4"/>
  <c r="C193" i="4"/>
  <c r="E134" i="4"/>
  <c r="C134" i="4"/>
  <c r="C142" i="4"/>
  <c r="E142" i="4"/>
  <c r="C150" i="4"/>
  <c r="E150" i="4"/>
  <c r="C158" i="4"/>
  <c r="E158" i="4"/>
  <c r="C166" i="4"/>
  <c r="E166" i="4"/>
  <c r="C174" i="4"/>
  <c r="E174" i="4"/>
  <c r="C182" i="4"/>
  <c r="E182" i="4"/>
  <c r="C190" i="4"/>
  <c r="E190" i="4"/>
  <c r="E145" i="4"/>
  <c r="C145" i="4"/>
  <c r="E153" i="4"/>
  <c r="C153" i="4"/>
  <c r="E161" i="4"/>
  <c r="C161" i="4"/>
  <c r="E169" i="4"/>
  <c r="C169" i="4"/>
  <c r="E177" i="4"/>
  <c r="C177" i="4"/>
  <c r="E185" i="4"/>
  <c r="C185" i="4"/>
  <c r="E326" i="4"/>
  <c r="C326" i="4"/>
  <c r="C198" i="4"/>
  <c r="E198" i="4"/>
  <c r="C206" i="4"/>
  <c r="E206" i="4"/>
  <c r="C214" i="4"/>
  <c r="E214" i="4"/>
  <c r="C222" i="4"/>
  <c r="E222" i="4"/>
  <c r="C230" i="4"/>
  <c r="E230" i="4"/>
  <c r="E244" i="4"/>
  <c r="C244" i="4"/>
  <c r="E260" i="4"/>
  <c r="C260" i="4"/>
  <c r="E278" i="4"/>
  <c r="C278" i="4"/>
  <c r="E288" i="4"/>
  <c r="C288" i="4"/>
  <c r="E199" i="4"/>
  <c r="C199" i="4"/>
  <c r="E207" i="4"/>
  <c r="C207" i="4"/>
  <c r="E215" i="4"/>
  <c r="C215" i="4"/>
  <c r="E223" i="4"/>
  <c r="C223" i="4"/>
  <c r="E231" i="4"/>
  <c r="C231" i="4"/>
  <c r="E246" i="4"/>
  <c r="C246" i="4"/>
  <c r="E262" i="4"/>
  <c r="C262" i="4"/>
  <c r="E282" i="4"/>
  <c r="C282" i="4"/>
  <c r="E305" i="4"/>
  <c r="C305" i="4"/>
  <c r="C233" i="4"/>
  <c r="E233" i="4"/>
  <c r="C241" i="4"/>
  <c r="E241" i="4"/>
  <c r="C249" i="4"/>
  <c r="E249" i="4"/>
  <c r="C257" i="4"/>
  <c r="E257" i="4"/>
  <c r="C265" i="4"/>
  <c r="E265" i="4"/>
  <c r="C273" i="4"/>
  <c r="E273" i="4"/>
  <c r="C281" i="4"/>
  <c r="E281" i="4"/>
  <c r="C289" i="4"/>
  <c r="E289" i="4"/>
  <c r="C342" i="4"/>
  <c r="E342" i="4"/>
  <c r="E315" i="4"/>
  <c r="C315" i="4"/>
  <c r="E336" i="4"/>
  <c r="C336" i="4"/>
  <c r="C296" i="4"/>
  <c r="E296" i="4"/>
  <c r="C304" i="4"/>
  <c r="E304" i="4"/>
  <c r="C312" i="4"/>
  <c r="E312" i="4"/>
  <c r="E338" i="4"/>
  <c r="C338" i="4"/>
  <c r="E332" i="4"/>
  <c r="C332" i="4"/>
  <c r="E354" i="4"/>
  <c r="C354" i="4"/>
  <c r="C321" i="4"/>
  <c r="E321" i="4"/>
  <c r="C329" i="4"/>
  <c r="E329" i="4"/>
  <c r="C337" i="4"/>
  <c r="E337" i="4"/>
  <c r="E356" i="4"/>
  <c r="C356" i="4"/>
  <c r="E344" i="4"/>
  <c r="C344" i="4"/>
  <c r="E374" i="4"/>
  <c r="C374" i="4"/>
  <c r="C351" i="4"/>
  <c r="E351" i="4"/>
  <c r="C359" i="4"/>
  <c r="E359" i="4"/>
  <c r="C367" i="4"/>
  <c r="E367" i="4"/>
  <c r="C375" i="4"/>
  <c r="E375" i="4"/>
  <c r="E32" i="4"/>
  <c r="B33" i="2"/>
  <c r="B19" i="2"/>
  <c r="E60" i="3"/>
  <c r="C60" i="3"/>
  <c r="C45" i="3"/>
  <c r="E45" i="3"/>
  <c r="C29" i="3"/>
  <c r="E29" i="3"/>
  <c r="C13" i="3"/>
  <c r="E13" i="3"/>
  <c r="D13" i="3"/>
  <c r="F13" i="3" s="1"/>
  <c r="E74" i="3"/>
  <c r="C74" i="3"/>
  <c r="E90" i="3"/>
  <c r="C90" i="3"/>
  <c r="I106" i="3"/>
  <c r="E106" i="3"/>
  <c r="H106" i="3"/>
  <c r="D106" i="3"/>
  <c r="K106" i="3"/>
  <c r="G106" i="3"/>
  <c r="C106" i="3"/>
  <c r="J106" i="3"/>
  <c r="F106" i="3"/>
  <c r="I122" i="3"/>
  <c r="E122" i="3"/>
  <c r="H122" i="3"/>
  <c r="D122" i="3"/>
  <c r="K122" i="3"/>
  <c r="G122" i="3"/>
  <c r="C122" i="3"/>
  <c r="J122" i="3"/>
  <c r="F122" i="3"/>
  <c r="C63" i="3"/>
  <c r="E63" i="3"/>
  <c r="C79" i="3"/>
  <c r="E79" i="3"/>
  <c r="C95" i="3"/>
  <c r="E95" i="3"/>
  <c r="K111" i="3"/>
  <c r="G111" i="3"/>
  <c r="C111" i="3"/>
  <c r="J111" i="3"/>
  <c r="F111" i="3"/>
  <c r="I111" i="3"/>
  <c r="E111" i="3"/>
  <c r="H111" i="3"/>
  <c r="D111" i="3"/>
  <c r="C59" i="3"/>
  <c r="E59" i="3"/>
  <c r="C51" i="3"/>
  <c r="E51" i="3"/>
  <c r="C43" i="3"/>
  <c r="E43" i="3"/>
  <c r="C35" i="3"/>
  <c r="E35" i="3"/>
  <c r="C27" i="3"/>
  <c r="E27" i="3"/>
  <c r="C19" i="3"/>
  <c r="E19" i="3"/>
  <c r="E68" i="3"/>
  <c r="C68" i="3"/>
  <c r="E76" i="3"/>
  <c r="C76" i="3"/>
  <c r="E84" i="3"/>
  <c r="C84" i="3"/>
  <c r="E92" i="3"/>
  <c r="C92" i="3"/>
  <c r="I100" i="3"/>
  <c r="E100" i="3"/>
  <c r="H100" i="3"/>
  <c r="D100" i="3"/>
  <c r="K100" i="3"/>
  <c r="G100" i="3"/>
  <c r="C100" i="3"/>
  <c r="J100" i="3"/>
  <c r="F100" i="3"/>
  <c r="I108" i="3"/>
  <c r="E108" i="3"/>
  <c r="H108" i="3"/>
  <c r="D108" i="3"/>
  <c r="K108" i="3"/>
  <c r="G108" i="3"/>
  <c r="C108" i="3"/>
  <c r="J108" i="3"/>
  <c r="F108" i="3"/>
  <c r="I116" i="3"/>
  <c r="E116" i="3"/>
  <c r="H116" i="3"/>
  <c r="D116" i="3"/>
  <c r="K116" i="3"/>
  <c r="G116" i="3"/>
  <c r="C116" i="3"/>
  <c r="J116" i="3"/>
  <c r="F116" i="3"/>
  <c r="K124" i="3"/>
  <c r="I124" i="3"/>
  <c r="E124" i="3"/>
  <c r="H124" i="3"/>
  <c r="D124" i="3"/>
  <c r="G124" i="3"/>
  <c r="C124" i="3"/>
  <c r="J124" i="3"/>
  <c r="F124" i="3"/>
  <c r="I129" i="3"/>
  <c r="E129" i="3"/>
  <c r="K129" i="3"/>
  <c r="G129" i="3"/>
  <c r="C129" i="3"/>
  <c r="F129" i="3"/>
  <c r="D129" i="3"/>
  <c r="J129" i="3"/>
  <c r="H129" i="3"/>
  <c r="C65" i="3"/>
  <c r="E65" i="3"/>
  <c r="C73" i="3"/>
  <c r="E73" i="3"/>
  <c r="C81" i="3"/>
  <c r="E81" i="3"/>
  <c r="C89" i="3"/>
  <c r="E89" i="3"/>
  <c r="K97" i="3"/>
  <c r="G97" i="3"/>
  <c r="C97" i="3"/>
  <c r="J97" i="3"/>
  <c r="F97" i="3"/>
  <c r="I97" i="3"/>
  <c r="E97" i="3"/>
  <c r="H97" i="3"/>
  <c r="D97" i="3"/>
  <c r="K105" i="3"/>
  <c r="G105" i="3"/>
  <c r="C105" i="3"/>
  <c r="J105" i="3"/>
  <c r="F105" i="3"/>
  <c r="I105" i="3"/>
  <c r="E105" i="3"/>
  <c r="H105" i="3"/>
  <c r="D105" i="3"/>
  <c r="K113" i="3"/>
  <c r="G113" i="3"/>
  <c r="C113" i="3"/>
  <c r="J113" i="3"/>
  <c r="F113" i="3"/>
  <c r="I113" i="3"/>
  <c r="E113" i="3"/>
  <c r="H113" i="3"/>
  <c r="D113" i="3"/>
  <c r="K121" i="3"/>
  <c r="G121" i="3"/>
  <c r="C121" i="3"/>
  <c r="J121" i="3"/>
  <c r="F121" i="3"/>
  <c r="I121" i="3"/>
  <c r="E121" i="3"/>
  <c r="H121" i="3"/>
  <c r="D121" i="3"/>
  <c r="I135" i="3"/>
  <c r="E135" i="3"/>
  <c r="H135" i="3"/>
  <c r="D135" i="3"/>
  <c r="K135" i="3"/>
  <c r="G135" i="3"/>
  <c r="C135" i="3"/>
  <c r="J135" i="3"/>
  <c r="F135" i="3"/>
  <c r="I143" i="3"/>
  <c r="E143" i="3"/>
  <c r="H143" i="3"/>
  <c r="D143" i="3"/>
  <c r="K143" i="3"/>
  <c r="G143" i="3"/>
  <c r="C143" i="3"/>
  <c r="J143" i="3"/>
  <c r="F143" i="3"/>
  <c r="K154" i="3"/>
  <c r="G154" i="3"/>
  <c r="C154" i="3"/>
  <c r="I154" i="3"/>
  <c r="E154" i="3"/>
  <c r="H154" i="3"/>
  <c r="F154" i="3"/>
  <c r="D154" i="3"/>
  <c r="J154" i="3"/>
  <c r="I177" i="3"/>
  <c r="E177" i="3"/>
  <c r="H177" i="3"/>
  <c r="D177" i="3"/>
  <c r="K177" i="3"/>
  <c r="G177" i="3"/>
  <c r="C177" i="3"/>
  <c r="J177" i="3"/>
  <c r="F177" i="3"/>
  <c r="I155" i="3"/>
  <c r="E155" i="3"/>
  <c r="K155" i="3"/>
  <c r="G155" i="3"/>
  <c r="C155" i="3"/>
  <c r="F155" i="3"/>
  <c r="D155" i="3"/>
  <c r="J155" i="3"/>
  <c r="H155" i="3"/>
  <c r="I187" i="3"/>
  <c r="E187" i="3"/>
  <c r="H187" i="3"/>
  <c r="D187" i="3"/>
  <c r="K187" i="3"/>
  <c r="G187" i="3"/>
  <c r="C187" i="3"/>
  <c r="J187" i="3"/>
  <c r="F187" i="3"/>
  <c r="K130" i="3"/>
  <c r="G130" i="3"/>
  <c r="C130" i="3"/>
  <c r="J130" i="3"/>
  <c r="F130" i="3"/>
  <c r="I130" i="3"/>
  <c r="E130" i="3"/>
  <c r="H130" i="3"/>
  <c r="D130" i="3"/>
  <c r="K138" i="3"/>
  <c r="G138" i="3"/>
  <c r="C138" i="3"/>
  <c r="J138" i="3"/>
  <c r="F138" i="3"/>
  <c r="I138" i="3"/>
  <c r="E138" i="3"/>
  <c r="H138" i="3"/>
  <c r="D138" i="3"/>
  <c r="K146" i="3"/>
  <c r="G146" i="3"/>
  <c r="C146" i="3"/>
  <c r="J146" i="3"/>
  <c r="F146" i="3"/>
  <c r="I146" i="3"/>
  <c r="E146" i="3"/>
  <c r="H146" i="3"/>
  <c r="D146" i="3"/>
  <c r="I165" i="3"/>
  <c r="E165" i="3"/>
  <c r="H165" i="3"/>
  <c r="D165" i="3"/>
  <c r="K165" i="3"/>
  <c r="G165" i="3"/>
  <c r="C165" i="3"/>
  <c r="F165" i="3"/>
  <c r="J165" i="3"/>
  <c r="I199" i="3"/>
  <c r="E199" i="3"/>
  <c r="K199" i="3"/>
  <c r="F199" i="3"/>
  <c r="J199" i="3"/>
  <c r="D199" i="3"/>
  <c r="H199" i="3"/>
  <c r="C199" i="3"/>
  <c r="G199" i="3"/>
  <c r="I157" i="3"/>
  <c r="E157" i="3"/>
  <c r="K157" i="3"/>
  <c r="G157" i="3"/>
  <c r="C157" i="3"/>
  <c r="J157" i="3"/>
  <c r="H157" i="3"/>
  <c r="F157" i="3"/>
  <c r="D157" i="3"/>
  <c r="I183" i="3"/>
  <c r="E183" i="3"/>
  <c r="H183" i="3"/>
  <c r="D183" i="3"/>
  <c r="K183" i="3"/>
  <c r="G183" i="3"/>
  <c r="C183" i="3"/>
  <c r="J183" i="3"/>
  <c r="F183" i="3"/>
  <c r="K198" i="3"/>
  <c r="G198" i="3"/>
  <c r="C198" i="3"/>
  <c r="J198" i="3"/>
  <c r="E198" i="3"/>
  <c r="I198" i="3"/>
  <c r="D198" i="3"/>
  <c r="H198" i="3"/>
  <c r="F198" i="3"/>
  <c r="I248" i="3"/>
  <c r="E248" i="3"/>
  <c r="K248" i="3"/>
  <c r="G248" i="3"/>
  <c r="C248" i="3"/>
  <c r="H248" i="3"/>
  <c r="F248" i="3"/>
  <c r="D248" i="3"/>
  <c r="J248" i="3"/>
  <c r="K164" i="3"/>
  <c r="G164" i="3"/>
  <c r="C164" i="3"/>
  <c r="J164" i="3"/>
  <c r="F164" i="3"/>
  <c r="I164" i="3"/>
  <c r="E164" i="3"/>
  <c r="H164" i="3"/>
  <c r="D164" i="3"/>
  <c r="K172" i="3"/>
  <c r="G172" i="3"/>
  <c r="C172" i="3"/>
  <c r="J172" i="3"/>
  <c r="F172" i="3"/>
  <c r="I172" i="3"/>
  <c r="E172" i="3"/>
  <c r="H172" i="3"/>
  <c r="D172" i="3"/>
  <c r="K180" i="3"/>
  <c r="G180" i="3"/>
  <c r="C180" i="3"/>
  <c r="J180" i="3"/>
  <c r="F180" i="3"/>
  <c r="I180" i="3"/>
  <c r="E180" i="3"/>
  <c r="H180" i="3"/>
  <c r="D180" i="3"/>
  <c r="K188" i="3"/>
  <c r="G188" i="3"/>
  <c r="C188" i="3"/>
  <c r="J188" i="3"/>
  <c r="F188" i="3"/>
  <c r="I188" i="3"/>
  <c r="E188" i="3"/>
  <c r="H188" i="3"/>
  <c r="D188" i="3"/>
  <c r="I203" i="3"/>
  <c r="E203" i="3"/>
  <c r="H203" i="3"/>
  <c r="C203" i="3"/>
  <c r="G203" i="3"/>
  <c r="K203" i="3"/>
  <c r="F203" i="3"/>
  <c r="J203" i="3"/>
  <c r="D203" i="3"/>
  <c r="I299" i="3"/>
  <c r="E299" i="3"/>
  <c r="H299" i="3"/>
  <c r="D299" i="3"/>
  <c r="G299" i="3"/>
  <c r="F299" i="3"/>
  <c r="K299" i="3"/>
  <c r="C299" i="3"/>
  <c r="J299" i="3"/>
  <c r="K202" i="3"/>
  <c r="G202" i="3"/>
  <c r="C202" i="3"/>
  <c r="H202" i="3"/>
  <c r="F202" i="3"/>
  <c r="J202" i="3"/>
  <c r="E202" i="3"/>
  <c r="I202" i="3"/>
  <c r="D202" i="3"/>
  <c r="H212" i="3"/>
  <c r="D212" i="3"/>
  <c r="K212" i="3"/>
  <c r="G212" i="3"/>
  <c r="C212" i="3"/>
  <c r="J212" i="3"/>
  <c r="F212" i="3"/>
  <c r="E212" i="3"/>
  <c r="I212" i="3"/>
  <c r="H220" i="3"/>
  <c r="D220" i="3"/>
  <c r="K220" i="3"/>
  <c r="G220" i="3"/>
  <c r="C220" i="3"/>
  <c r="J220" i="3"/>
  <c r="F220" i="3"/>
  <c r="E220" i="3"/>
  <c r="I220" i="3"/>
  <c r="H228" i="3"/>
  <c r="D228" i="3"/>
  <c r="K228" i="3"/>
  <c r="G228" i="3"/>
  <c r="C228" i="3"/>
  <c r="J228" i="3"/>
  <c r="F228" i="3"/>
  <c r="E228" i="3"/>
  <c r="I228" i="3"/>
  <c r="H236" i="3"/>
  <c r="D236" i="3"/>
  <c r="K236" i="3"/>
  <c r="G236" i="3"/>
  <c r="C236" i="3"/>
  <c r="J236" i="3"/>
  <c r="F236" i="3"/>
  <c r="E236" i="3"/>
  <c r="I236" i="3"/>
  <c r="K249" i="3"/>
  <c r="G249" i="3"/>
  <c r="C249" i="3"/>
  <c r="I249" i="3"/>
  <c r="E249" i="3"/>
  <c r="F249" i="3"/>
  <c r="D249" i="3"/>
  <c r="J249" i="3"/>
  <c r="H249" i="3"/>
  <c r="I278" i="3"/>
  <c r="E278" i="3"/>
  <c r="H278" i="3"/>
  <c r="D278" i="3"/>
  <c r="K278" i="3"/>
  <c r="G278" i="3"/>
  <c r="C278" i="3"/>
  <c r="J278" i="3"/>
  <c r="F278" i="3"/>
  <c r="K239" i="3"/>
  <c r="G239" i="3"/>
  <c r="C239" i="3"/>
  <c r="I239" i="3"/>
  <c r="J239" i="3"/>
  <c r="D239" i="3"/>
  <c r="H239" i="3"/>
  <c r="F239" i="3"/>
  <c r="E239" i="3"/>
  <c r="I256" i="3"/>
  <c r="E256" i="3"/>
  <c r="H256" i="3"/>
  <c r="D256" i="3"/>
  <c r="K256" i="3"/>
  <c r="G256" i="3"/>
  <c r="C256" i="3"/>
  <c r="F256" i="3"/>
  <c r="J256" i="3"/>
  <c r="I288" i="3"/>
  <c r="E288" i="3"/>
  <c r="H288" i="3"/>
  <c r="D288" i="3"/>
  <c r="K288" i="3"/>
  <c r="G288" i="3"/>
  <c r="C288" i="3"/>
  <c r="F288" i="3"/>
  <c r="J288" i="3"/>
  <c r="J217" i="3"/>
  <c r="F217" i="3"/>
  <c r="I217" i="3"/>
  <c r="E217" i="3"/>
  <c r="H217" i="3"/>
  <c r="D217" i="3"/>
  <c r="C217" i="3"/>
  <c r="K217" i="3"/>
  <c r="G217" i="3"/>
  <c r="J225" i="3"/>
  <c r="F225" i="3"/>
  <c r="I225" i="3"/>
  <c r="E225" i="3"/>
  <c r="H225" i="3"/>
  <c r="D225" i="3"/>
  <c r="C225" i="3"/>
  <c r="K225" i="3"/>
  <c r="G225" i="3"/>
  <c r="J233" i="3"/>
  <c r="F233" i="3"/>
  <c r="I233" i="3"/>
  <c r="E233" i="3"/>
  <c r="H233" i="3"/>
  <c r="D233" i="3"/>
  <c r="C233" i="3"/>
  <c r="K233" i="3"/>
  <c r="G233" i="3"/>
  <c r="K247" i="3"/>
  <c r="G247" i="3"/>
  <c r="C247" i="3"/>
  <c r="I247" i="3"/>
  <c r="E247" i="3"/>
  <c r="J247" i="3"/>
  <c r="H247" i="3"/>
  <c r="F247" i="3"/>
  <c r="D247" i="3"/>
  <c r="I274" i="3"/>
  <c r="E274" i="3"/>
  <c r="H274" i="3"/>
  <c r="D274" i="3"/>
  <c r="K274" i="3"/>
  <c r="G274" i="3"/>
  <c r="C274" i="3"/>
  <c r="J274" i="3"/>
  <c r="F274" i="3"/>
  <c r="K296" i="3"/>
  <c r="G296" i="3"/>
  <c r="C296" i="3"/>
  <c r="J296" i="3"/>
  <c r="E296" i="3"/>
  <c r="I296" i="3"/>
  <c r="D296" i="3"/>
  <c r="H296" i="3"/>
  <c r="F296" i="3"/>
  <c r="K257" i="3"/>
  <c r="G257" i="3"/>
  <c r="C257" i="3"/>
  <c r="J257" i="3"/>
  <c r="F257" i="3"/>
  <c r="I257" i="3"/>
  <c r="E257" i="3"/>
  <c r="H257" i="3"/>
  <c r="D257" i="3"/>
  <c r="K265" i="3"/>
  <c r="G265" i="3"/>
  <c r="C265" i="3"/>
  <c r="J265" i="3"/>
  <c r="F265" i="3"/>
  <c r="I265" i="3"/>
  <c r="E265" i="3"/>
  <c r="H265" i="3"/>
  <c r="D265" i="3"/>
  <c r="K273" i="3"/>
  <c r="G273" i="3"/>
  <c r="C273" i="3"/>
  <c r="J273" i="3"/>
  <c r="F273" i="3"/>
  <c r="I273" i="3"/>
  <c r="E273" i="3"/>
  <c r="H273" i="3"/>
  <c r="D273" i="3"/>
  <c r="K281" i="3"/>
  <c r="G281" i="3"/>
  <c r="C281" i="3"/>
  <c r="J281" i="3"/>
  <c r="F281" i="3"/>
  <c r="I281" i="3"/>
  <c r="E281" i="3"/>
  <c r="H281" i="3"/>
  <c r="D281" i="3"/>
  <c r="K289" i="3"/>
  <c r="G289" i="3"/>
  <c r="C289" i="3"/>
  <c r="J289" i="3"/>
  <c r="F289" i="3"/>
  <c r="I289" i="3"/>
  <c r="E289" i="3"/>
  <c r="H289" i="3"/>
  <c r="D289" i="3"/>
  <c r="J301" i="3"/>
  <c r="F301" i="3"/>
  <c r="I301" i="3"/>
  <c r="E301" i="3"/>
  <c r="H301" i="3"/>
  <c r="D301" i="3"/>
  <c r="C301" i="3"/>
  <c r="K301" i="3"/>
  <c r="G301" i="3"/>
  <c r="K300" i="3"/>
  <c r="G300" i="3"/>
  <c r="C300" i="3"/>
  <c r="J300" i="3"/>
  <c r="F300" i="3"/>
  <c r="E300" i="3"/>
  <c r="D300" i="3"/>
  <c r="I300" i="3"/>
  <c r="H300" i="3"/>
  <c r="H308" i="3"/>
  <c r="D308" i="3"/>
  <c r="K308" i="3"/>
  <c r="G308" i="3"/>
  <c r="C308" i="3"/>
  <c r="J308" i="3"/>
  <c r="F308" i="3"/>
  <c r="I308" i="3"/>
  <c r="E308" i="3"/>
  <c r="H316" i="3"/>
  <c r="D316" i="3"/>
  <c r="K316" i="3"/>
  <c r="G316" i="3"/>
  <c r="C316" i="3"/>
  <c r="J316" i="3"/>
  <c r="F316" i="3"/>
  <c r="I316" i="3"/>
  <c r="E316" i="3"/>
  <c r="J330" i="3"/>
  <c r="I330" i="3"/>
  <c r="E330" i="3"/>
  <c r="H330" i="3"/>
  <c r="D330" i="3"/>
  <c r="F330" i="3"/>
  <c r="C330" i="3"/>
  <c r="K330" i="3"/>
  <c r="G330" i="3"/>
  <c r="J303" i="3"/>
  <c r="F303" i="3"/>
  <c r="I303" i="3"/>
  <c r="E303" i="3"/>
  <c r="H303" i="3"/>
  <c r="D303" i="3"/>
  <c r="K303" i="3"/>
  <c r="G303" i="3"/>
  <c r="C303" i="3"/>
  <c r="J311" i="3"/>
  <c r="F311" i="3"/>
  <c r="I311" i="3"/>
  <c r="E311" i="3"/>
  <c r="H311" i="3"/>
  <c r="D311" i="3"/>
  <c r="K311" i="3"/>
  <c r="G311" i="3"/>
  <c r="C311" i="3"/>
  <c r="J319" i="3"/>
  <c r="F319" i="3"/>
  <c r="I319" i="3"/>
  <c r="E319" i="3"/>
  <c r="H319" i="3"/>
  <c r="D319" i="3"/>
  <c r="K319" i="3"/>
  <c r="G319" i="3"/>
  <c r="C319" i="3"/>
  <c r="K327" i="3"/>
  <c r="G327" i="3"/>
  <c r="C327" i="3"/>
  <c r="H327" i="3"/>
  <c r="F327" i="3"/>
  <c r="J327" i="3"/>
  <c r="E327" i="3"/>
  <c r="I327" i="3"/>
  <c r="D327" i="3"/>
  <c r="H331" i="3"/>
  <c r="D331" i="3"/>
  <c r="K331" i="3"/>
  <c r="G331" i="3"/>
  <c r="C331" i="3"/>
  <c r="J331" i="3"/>
  <c r="F331" i="3"/>
  <c r="I331" i="3"/>
  <c r="E331" i="3"/>
  <c r="K339" i="3"/>
  <c r="G339" i="3"/>
  <c r="C339" i="3"/>
  <c r="J339" i="3"/>
  <c r="E339" i="3"/>
  <c r="I339" i="3"/>
  <c r="D339" i="3"/>
  <c r="H339" i="3"/>
  <c r="F339" i="3"/>
  <c r="H355" i="3"/>
  <c r="D355" i="3"/>
  <c r="K355" i="3"/>
  <c r="G355" i="3"/>
  <c r="C355" i="3"/>
  <c r="F355" i="3"/>
  <c r="E355" i="3"/>
  <c r="J355" i="3"/>
  <c r="I355" i="3"/>
  <c r="I344" i="3"/>
  <c r="E344" i="3"/>
  <c r="H344" i="3"/>
  <c r="C344" i="3"/>
  <c r="G344" i="3"/>
  <c r="K344" i="3"/>
  <c r="F344" i="3"/>
  <c r="D344" i="3"/>
  <c r="J344" i="3"/>
  <c r="I369" i="3"/>
  <c r="E369" i="3"/>
  <c r="H369" i="3"/>
  <c r="D369" i="3"/>
  <c r="K369" i="3"/>
  <c r="G369" i="3"/>
  <c r="C369" i="3"/>
  <c r="F369" i="3"/>
  <c r="J369" i="3"/>
  <c r="J338" i="3"/>
  <c r="F338" i="3"/>
  <c r="I338" i="3"/>
  <c r="E338" i="3"/>
  <c r="H338" i="3"/>
  <c r="D338" i="3"/>
  <c r="C338" i="3"/>
  <c r="K338" i="3"/>
  <c r="G338" i="3"/>
  <c r="K351" i="3"/>
  <c r="G351" i="3"/>
  <c r="C351" i="3"/>
  <c r="H351" i="3"/>
  <c r="F351" i="3"/>
  <c r="J351" i="3"/>
  <c r="E351" i="3"/>
  <c r="I351" i="3"/>
  <c r="D351" i="3"/>
  <c r="J356" i="3"/>
  <c r="F356" i="3"/>
  <c r="I356" i="3"/>
  <c r="E356" i="3"/>
  <c r="D356" i="3"/>
  <c r="K356" i="3"/>
  <c r="C356" i="3"/>
  <c r="H356" i="3"/>
  <c r="G356" i="3"/>
  <c r="K364" i="3"/>
  <c r="G364" i="3"/>
  <c r="C364" i="3"/>
  <c r="J364" i="3"/>
  <c r="F364" i="3"/>
  <c r="I364" i="3"/>
  <c r="E364" i="3"/>
  <c r="H364" i="3"/>
  <c r="D364" i="3"/>
  <c r="K372" i="3"/>
  <c r="G372" i="3"/>
  <c r="C372" i="3"/>
  <c r="J372" i="3"/>
  <c r="F372" i="3"/>
  <c r="I372" i="3"/>
  <c r="E372" i="3"/>
  <c r="H372" i="3"/>
  <c r="D372" i="3"/>
  <c r="E50" i="3"/>
  <c r="C50" i="3"/>
  <c r="E42" i="3"/>
  <c r="C42" i="3"/>
  <c r="E34" i="3"/>
  <c r="C34" i="3"/>
  <c r="E26" i="3"/>
  <c r="C26" i="3"/>
  <c r="E18" i="3"/>
  <c r="C18" i="3"/>
  <c r="C57" i="3"/>
  <c r="E57" i="3"/>
  <c r="C41" i="3"/>
  <c r="E41" i="3"/>
  <c r="C25" i="3"/>
  <c r="E25" i="3"/>
  <c r="E62" i="3"/>
  <c r="C62" i="3"/>
  <c r="E78" i="3"/>
  <c r="C78" i="3"/>
  <c r="E94" i="3"/>
  <c r="C94" i="3"/>
  <c r="I110" i="3"/>
  <c r="E110" i="3"/>
  <c r="H110" i="3"/>
  <c r="D110" i="3"/>
  <c r="K110" i="3"/>
  <c r="G110" i="3"/>
  <c r="C110" i="3"/>
  <c r="J110" i="3"/>
  <c r="F110" i="3"/>
  <c r="K128" i="3"/>
  <c r="G128" i="3"/>
  <c r="C128" i="3"/>
  <c r="I128" i="3"/>
  <c r="E128" i="3"/>
  <c r="H128" i="3"/>
  <c r="F128" i="3"/>
  <c r="D128" i="3"/>
  <c r="J128" i="3"/>
  <c r="C75" i="3"/>
  <c r="E75" i="3"/>
  <c r="C91" i="3"/>
  <c r="E91" i="3"/>
  <c r="K107" i="3"/>
  <c r="G107" i="3"/>
  <c r="C107" i="3"/>
  <c r="J107" i="3"/>
  <c r="F107" i="3"/>
  <c r="I107" i="3"/>
  <c r="E107" i="3"/>
  <c r="H107" i="3"/>
  <c r="D107" i="3"/>
  <c r="K123" i="3"/>
  <c r="G123" i="3"/>
  <c r="C123" i="3"/>
  <c r="J123" i="3"/>
  <c r="F123" i="3"/>
  <c r="I123" i="3"/>
  <c r="E123" i="3"/>
  <c r="H123" i="3"/>
  <c r="D123" i="3"/>
  <c r="I145" i="3"/>
  <c r="E145" i="3"/>
  <c r="H145" i="3"/>
  <c r="D145" i="3"/>
  <c r="K145" i="3"/>
  <c r="G145" i="3"/>
  <c r="C145" i="3"/>
  <c r="J145" i="3"/>
  <c r="F145" i="3"/>
  <c r="K158" i="3"/>
  <c r="G158" i="3"/>
  <c r="C158" i="3"/>
  <c r="J158" i="3"/>
  <c r="F158" i="3"/>
  <c r="I158" i="3"/>
  <c r="E158" i="3"/>
  <c r="H158" i="3"/>
  <c r="D158" i="3"/>
  <c r="I163" i="3"/>
  <c r="E163" i="3"/>
  <c r="H163" i="3"/>
  <c r="D163" i="3"/>
  <c r="K163" i="3"/>
  <c r="G163" i="3"/>
  <c r="C163" i="3"/>
  <c r="J163" i="3"/>
  <c r="F163" i="3"/>
  <c r="K192" i="3"/>
  <c r="G192" i="3"/>
  <c r="C192" i="3"/>
  <c r="F192" i="3"/>
  <c r="J192" i="3"/>
  <c r="E192" i="3"/>
  <c r="I192" i="3"/>
  <c r="D192" i="3"/>
  <c r="H192" i="3"/>
  <c r="K132" i="3"/>
  <c r="G132" i="3"/>
  <c r="C132" i="3"/>
  <c r="J132" i="3"/>
  <c r="F132" i="3"/>
  <c r="I132" i="3"/>
  <c r="E132" i="3"/>
  <c r="D132" i="3"/>
  <c r="H132" i="3"/>
  <c r="K140" i="3"/>
  <c r="G140" i="3"/>
  <c r="C140" i="3"/>
  <c r="J140" i="3"/>
  <c r="F140" i="3"/>
  <c r="I140" i="3"/>
  <c r="E140" i="3"/>
  <c r="H140" i="3"/>
  <c r="D140" i="3"/>
  <c r="K148" i="3"/>
  <c r="G148" i="3"/>
  <c r="C148" i="3"/>
  <c r="J148" i="3"/>
  <c r="F148" i="3"/>
  <c r="I148" i="3"/>
  <c r="E148" i="3"/>
  <c r="H148" i="3"/>
  <c r="D148" i="3"/>
  <c r="I173" i="3"/>
  <c r="E173" i="3"/>
  <c r="H173" i="3"/>
  <c r="D173" i="3"/>
  <c r="K173" i="3"/>
  <c r="G173" i="3"/>
  <c r="C173" i="3"/>
  <c r="F173" i="3"/>
  <c r="J173" i="3"/>
  <c r="I268" i="3"/>
  <c r="E268" i="3"/>
  <c r="H268" i="3"/>
  <c r="D268" i="3"/>
  <c r="K268" i="3"/>
  <c r="G268" i="3"/>
  <c r="C268" i="3"/>
  <c r="J268" i="3"/>
  <c r="F268" i="3"/>
  <c r="I159" i="3"/>
  <c r="E159" i="3"/>
  <c r="H159" i="3"/>
  <c r="D159" i="3"/>
  <c r="K159" i="3"/>
  <c r="G159" i="3"/>
  <c r="C159" i="3"/>
  <c r="J159" i="3"/>
  <c r="F159" i="3"/>
  <c r="I191" i="3"/>
  <c r="E191" i="3"/>
  <c r="K191" i="3"/>
  <c r="F191" i="3"/>
  <c r="J191" i="3"/>
  <c r="D191" i="3"/>
  <c r="H191" i="3"/>
  <c r="C191" i="3"/>
  <c r="G191" i="3"/>
  <c r="I205" i="3"/>
  <c r="E205" i="3"/>
  <c r="J205" i="3"/>
  <c r="D205" i="3"/>
  <c r="H205" i="3"/>
  <c r="C205" i="3"/>
  <c r="G205" i="3"/>
  <c r="K205" i="3"/>
  <c r="F205" i="3"/>
  <c r="I276" i="3"/>
  <c r="E276" i="3"/>
  <c r="H276" i="3"/>
  <c r="D276" i="3"/>
  <c r="K276" i="3"/>
  <c r="G276" i="3"/>
  <c r="C276" i="3"/>
  <c r="J276" i="3"/>
  <c r="F276" i="3"/>
  <c r="K166" i="3"/>
  <c r="G166" i="3"/>
  <c r="C166" i="3"/>
  <c r="J166" i="3"/>
  <c r="F166" i="3"/>
  <c r="I166" i="3"/>
  <c r="E166" i="3"/>
  <c r="H166" i="3"/>
  <c r="D166" i="3"/>
  <c r="K174" i="3"/>
  <c r="G174" i="3"/>
  <c r="C174" i="3"/>
  <c r="J174" i="3"/>
  <c r="F174" i="3"/>
  <c r="I174" i="3"/>
  <c r="E174" i="3"/>
  <c r="H174" i="3"/>
  <c r="D174" i="3"/>
  <c r="K182" i="3"/>
  <c r="G182" i="3"/>
  <c r="C182" i="3"/>
  <c r="J182" i="3"/>
  <c r="F182" i="3"/>
  <c r="I182" i="3"/>
  <c r="E182" i="3"/>
  <c r="H182" i="3"/>
  <c r="D182" i="3"/>
  <c r="K190" i="3"/>
  <c r="G190" i="3"/>
  <c r="C190" i="3"/>
  <c r="J190" i="3"/>
  <c r="F190" i="3"/>
  <c r="I190" i="3"/>
  <c r="E190" i="3"/>
  <c r="H190" i="3"/>
  <c r="D190" i="3"/>
  <c r="K204" i="3"/>
  <c r="G204" i="3"/>
  <c r="C204" i="3"/>
  <c r="I204" i="3"/>
  <c r="D204" i="3"/>
  <c r="H204" i="3"/>
  <c r="F204" i="3"/>
  <c r="J204" i="3"/>
  <c r="E204" i="3"/>
  <c r="I193" i="3"/>
  <c r="E193" i="3"/>
  <c r="G193" i="3"/>
  <c r="K193" i="3"/>
  <c r="F193" i="3"/>
  <c r="J193" i="3"/>
  <c r="D193" i="3"/>
  <c r="C193" i="3"/>
  <c r="H193" i="3"/>
  <c r="I240" i="3"/>
  <c r="E240" i="3"/>
  <c r="K240" i="3"/>
  <c r="G240" i="3"/>
  <c r="C240" i="3"/>
  <c r="H240" i="3"/>
  <c r="F240" i="3"/>
  <c r="D240" i="3"/>
  <c r="J240" i="3"/>
  <c r="H214" i="3"/>
  <c r="D214" i="3"/>
  <c r="K214" i="3"/>
  <c r="G214" i="3"/>
  <c r="C214" i="3"/>
  <c r="J214" i="3"/>
  <c r="F214" i="3"/>
  <c r="I214" i="3"/>
  <c r="E214" i="3"/>
  <c r="H222" i="3"/>
  <c r="D222" i="3"/>
  <c r="K222" i="3"/>
  <c r="G222" i="3"/>
  <c r="C222" i="3"/>
  <c r="J222" i="3"/>
  <c r="F222" i="3"/>
  <c r="I222" i="3"/>
  <c r="E222" i="3"/>
  <c r="H230" i="3"/>
  <c r="D230" i="3"/>
  <c r="K230" i="3"/>
  <c r="G230" i="3"/>
  <c r="C230" i="3"/>
  <c r="J230" i="3"/>
  <c r="F230" i="3"/>
  <c r="I230" i="3"/>
  <c r="E230" i="3"/>
  <c r="I238" i="3"/>
  <c r="H238" i="3"/>
  <c r="D238" i="3"/>
  <c r="G238" i="3"/>
  <c r="C238" i="3"/>
  <c r="K238" i="3"/>
  <c r="F238" i="3"/>
  <c r="J238" i="3"/>
  <c r="E238" i="3"/>
  <c r="I254" i="3"/>
  <c r="E254" i="3"/>
  <c r="H254" i="3"/>
  <c r="D254" i="3"/>
  <c r="K254" i="3"/>
  <c r="G254" i="3"/>
  <c r="C254" i="3"/>
  <c r="J254" i="3"/>
  <c r="F254" i="3"/>
  <c r="I286" i="3"/>
  <c r="E286" i="3"/>
  <c r="H286" i="3"/>
  <c r="D286" i="3"/>
  <c r="K286" i="3"/>
  <c r="G286" i="3"/>
  <c r="C286" i="3"/>
  <c r="J286" i="3"/>
  <c r="F286" i="3"/>
  <c r="I242" i="3"/>
  <c r="E242" i="3"/>
  <c r="K242" i="3"/>
  <c r="G242" i="3"/>
  <c r="C242" i="3"/>
  <c r="D242" i="3"/>
  <c r="J242" i="3"/>
  <c r="H242" i="3"/>
  <c r="F242" i="3"/>
  <c r="I264" i="3"/>
  <c r="E264" i="3"/>
  <c r="H264" i="3"/>
  <c r="D264" i="3"/>
  <c r="K264" i="3"/>
  <c r="G264" i="3"/>
  <c r="C264" i="3"/>
  <c r="F264" i="3"/>
  <c r="J264" i="3"/>
  <c r="J211" i="3"/>
  <c r="F211" i="3"/>
  <c r="I211" i="3"/>
  <c r="E211" i="3"/>
  <c r="H211" i="3"/>
  <c r="D211" i="3"/>
  <c r="K211" i="3"/>
  <c r="G211" i="3"/>
  <c r="C211" i="3"/>
  <c r="J219" i="3"/>
  <c r="F219" i="3"/>
  <c r="I219" i="3"/>
  <c r="E219" i="3"/>
  <c r="H219" i="3"/>
  <c r="D219" i="3"/>
  <c r="K219" i="3"/>
  <c r="G219" i="3"/>
  <c r="C219" i="3"/>
  <c r="J227" i="3"/>
  <c r="F227" i="3"/>
  <c r="I227" i="3"/>
  <c r="E227" i="3"/>
  <c r="H227" i="3"/>
  <c r="D227" i="3"/>
  <c r="K227" i="3"/>
  <c r="G227" i="3"/>
  <c r="C227" i="3"/>
  <c r="J235" i="3"/>
  <c r="F235" i="3"/>
  <c r="I235" i="3"/>
  <c r="E235" i="3"/>
  <c r="H235" i="3"/>
  <c r="D235" i="3"/>
  <c r="K235" i="3"/>
  <c r="G235" i="3"/>
  <c r="C235" i="3"/>
  <c r="K251" i="3"/>
  <c r="G251" i="3"/>
  <c r="C251" i="3"/>
  <c r="I251" i="3"/>
  <c r="E251" i="3"/>
  <c r="J251" i="3"/>
  <c r="H251" i="3"/>
  <c r="F251" i="3"/>
  <c r="D251" i="3"/>
  <c r="I282" i="3"/>
  <c r="E282" i="3"/>
  <c r="H282" i="3"/>
  <c r="D282" i="3"/>
  <c r="K282" i="3"/>
  <c r="G282" i="3"/>
  <c r="C282" i="3"/>
  <c r="J282" i="3"/>
  <c r="F282" i="3"/>
  <c r="K349" i="3"/>
  <c r="G349" i="3"/>
  <c r="C349" i="3"/>
  <c r="F349" i="3"/>
  <c r="J349" i="3"/>
  <c r="E349" i="3"/>
  <c r="I349" i="3"/>
  <c r="D349" i="3"/>
  <c r="H349" i="3"/>
  <c r="K259" i="3"/>
  <c r="G259" i="3"/>
  <c r="C259" i="3"/>
  <c r="J259" i="3"/>
  <c r="F259" i="3"/>
  <c r="I259" i="3"/>
  <c r="E259" i="3"/>
  <c r="H259" i="3"/>
  <c r="D259" i="3"/>
  <c r="K267" i="3"/>
  <c r="G267" i="3"/>
  <c r="C267" i="3"/>
  <c r="J267" i="3"/>
  <c r="F267" i="3"/>
  <c r="I267" i="3"/>
  <c r="E267" i="3"/>
  <c r="H267" i="3"/>
  <c r="D267" i="3"/>
  <c r="K275" i="3"/>
  <c r="G275" i="3"/>
  <c r="C275" i="3"/>
  <c r="J275" i="3"/>
  <c r="F275" i="3"/>
  <c r="I275" i="3"/>
  <c r="E275" i="3"/>
  <c r="H275" i="3"/>
  <c r="D275" i="3"/>
  <c r="K283" i="3"/>
  <c r="G283" i="3"/>
  <c r="C283" i="3"/>
  <c r="J283" i="3"/>
  <c r="F283" i="3"/>
  <c r="I283" i="3"/>
  <c r="E283" i="3"/>
  <c r="H283" i="3"/>
  <c r="D283" i="3"/>
  <c r="I291" i="3"/>
  <c r="G291" i="3"/>
  <c r="C291" i="3"/>
  <c r="K291" i="3"/>
  <c r="F291" i="3"/>
  <c r="J291" i="3"/>
  <c r="E291" i="3"/>
  <c r="H291" i="3"/>
  <c r="D291" i="3"/>
  <c r="K325" i="3"/>
  <c r="G325" i="3"/>
  <c r="C325" i="3"/>
  <c r="F325" i="3"/>
  <c r="J325" i="3"/>
  <c r="E325" i="3"/>
  <c r="I325" i="3"/>
  <c r="D325" i="3"/>
  <c r="H325" i="3"/>
  <c r="H302" i="3"/>
  <c r="D302" i="3"/>
  <c r="K302" i="3"/>
  <c r="G302" i="3"/>
  <c r="C302" i="3"/>
  <c r="J302" i="3"/>
  <c r="F302" i="3"/>
  <c r="I302" i="3"/>
  <c r="E302" i="3"/>
  <c r="H310" i="3"/>
  <c r="D310" i="3"/>
  <c r="K310" i="3"/>
  <c r="G310" i="3"/>
  <c r="C310" i="3"/>
  <c r="J310" i="3"/>
  <c r="F310" i="3"/>
  <c r="I310" i="3"/>
  <c r="E310" i="3"/>
  <c r="H318" i="3"/>
  <c r="D318" i="3"/>
  <c r="K318" i="3"/>
  <c r="G318" i="3"/>
  <c r="C318" i="3"/>
  <c r="J318" i="3"/>
  <c r="F318" i="3"/>
  <c r="I318" i="3"/>
  <c r="E318" i="3"/>
  <c r="K341" i="3"/>
  <c r="G341" i="3"/>
  <c r="C341" i="3"/>
  <c r="F341" i="3"/>
  <c r="J341" i="3"/>
  <c r="E341" i="3"/>
  <c r="I341" i="3"/>
  <c r="D341" i="3"/>
  <c r="H341" i="3"/>
  <c r="J305" i="3"/>
  <c r="F305" i="3"/>
  <c r="I305" i="3"/>
  <c r="E305" i="3"/>
  <c r="H305" i="3"/>
  <c r="D305" i="3"/>
  <c r="K305" i="3"/>
  <c r="G305" i="3"/>
  <c r="C305" i="3"/>
  <c r="J313" i="3"/>
  <c r="F313" i="3"/>
  <c r="I313" i="3"/>
  <c r="E313" i="3"/>
  <c r="H313" i="3"/>
  <c r="D313" i="3"/>
  <c r="K313" i="3"/>
  <c r="G313" i="3"/>
  <c r="C313" i="3"/>
  <c r="J321" i="3"/>
  <c r="F321" i="3"/>
  <c r="I321" i="3"/>
  <c r="E321" i="3"/>
  <c r="H321" i="3"/>
  <c r="D321" i="3"/>
  <c r="K321" i="3"/>
  <c r="G321" i="3"/>
  <c r="C321" i="3"/>
  <c r="I340" i="3"/>
  <c r="E340" i="3"/>
  <c r="K340" i="3"/>
  <c r="F340" i="3"/>
  <c r="J340" i="3"/>
  <c r="D340" i="3"/>
  <c r="H340" i="3"/>
  <c r="C340" i="3"/>
  <c r="G340" i="3"/>
  <c r="H333" i="3"/>
  <c r="D333" i="3"/>
  <c r="K333" i="3"/>
  <c r="G333" i="3"/>
  <c r="C333" i="3"/>
  <c r="J333" i="3"/>
  <c r="F333" i="3"/>
  <c r="E333" i="3"/>
  <c r="I333" i="3"/>
  <c r="I346" i="3"/>
  <c r="E346" i="3"/>
  <c r="J346" i="3"/>
  <c r="D346" i="3"/>
  <c r="H346" i="3"/>
  <c r="C346" i="3"/>
  <c r="G346" i="3"/>
  <c r="F346" i="3"/>
  <c r="K346" i="3"/>
  <c r="H359" i="3"/>
  <c r="D359" i="3"/>
  <c r="K359" i="3"/>
  <c r="G359" i="3"/>
  <c r="C359" i="3"/>
  <c r="F359" i="3"/>
  <c r="E359" i="3"/>
  <c r="J359" i="3"/>
  <c r="I359" i="3"/>
  <c r="K345" i="3"/>
  <c r="G345" i="3"/>
  <c r="C345" i="3"/>
  <c r="I345" i="3"/>
  <c r="D345" i="3"/>
  <c r="H345" i="3"/>
  <c r="F345" i="3"/>
  <c r="J345" i="3"/>
  <c r="E345" i="3"/>
  <c r="J332" i="3"/>
  <c r="F332" i="3"/>
  <c r="I332" i="3"/>
  <c r="E332" i="3"/>
  <c r="H332" i="3"/>
  <c r="D332" i="3"/>
  <c r="K332" i="3"/>
  <c r="G332" i="3"/>
  <c r="C332" i="3"/>
  <c r="I342" i="3"/>
  <c r="E342" i="3"/>
  <c r="G342" i="3"/>
  <c r="K342" i="3"/>
  <c r="F342" i="3"/>
  <c r="J342" i="3"/>
  <c r="D342" i="3"/>
  <c r="C342" i="3"/>
  <c r="H342" i="3"/>
  <c r="H357" i="3"/>
  <c r="D357" i="3"/>
  <c r="K357" i="3"/>
  <c r="G357" i="3"/>
  <c r="C357" i="3"/>
  <c r="J357" i="3"/>
  <c r="I357" i="3"/>
  <c r="F357" i="3"/>
  <c r="E357" i="3"/>
  <c r="J358" i="3"/>
  <c r="F358" i="3"/>
  <c r="I358" i="3"/>
  <c r="E358" i="3"/>
  <c r="H358" i="3"/>
  <c r="G358" i="3"/>
  <c r="D358" i="3"/>
  <c r="C358" i="3"/>
  <c r="K358" i="3"/>
  <c r="K366" i="3"/>
  <c r="G366" i="3"/>
  <c r="C366" i="3"/>
  <c r="J366" i="3"/>
  <c r="F366" i="3"/>
  <c r="I366" i="3"/>
  <c r="E366" i="3"/>
  <c r="D366" i="3"/>
  <c r="H366" i="3"/>
  <c r="E56" i="3"/>
  <c r="C56" i="3"/>
  <c r="E48" i="3"/>
  <c r="C48" i="3"/>
  <c r="E40" i="3"/>
  <c r="C40" i="3"/>
  <c r="E32" i="3"/>
  <c r="C32" i="3"/>
  <c r="E24" i="3"/>
  <c r="C24" i="3"/>
  <c r="E16" i="3"/>
  <c r="C16" i="3"/>
  <c r="C49" i="3"/>
  <c r="E49" i="3"/>
  <c r="C33" i="3"/>
  <c r="E33" i="3"/>
  <c r="C17" i="3"/>
  <c r="E17" i="3"/>
  <c r="E70" i="3"/>
  <c r="C70" i="3"/>
  <c r="E86" i="3"/>
  <c r="C86" i="3"/>
  <c r="I102" i="3"/>
  <c r="E102" i="3"/>
  <c r="H102" i="3"/>
  <c r="D102" i="3"/>
  <c r="K102" i="3"/>
  <c r="G102" i="3"/>
  <c r="C102" i="3"/>
  <c r="J102" i="3"/>
  <c r="F102" i="3"/>
  <c r="I118" i="3"/>
  <c r="E118" i="3"/>
  <c r="H118" i="3"/>
  <c r="D118" i="3"/>
  <c r="K118" i="3"/>
  <c r="G118" i="3"/>
  <c r="C118" i="3"/>
  <c r="J118" i="3"/>
  <c r="F118" i="3"/>
  <c r="I133" i="3"/>
  <c r="E133" i="3"/>
  <c r="H133" i="3"/>
  <c r="D133" i="3"/>
  <c r="K133" i="3"/>
  <c r="G133" i="3"/>
  <c r="C133" i="3"/>
  <c r="J133" i="3"/>
  <c r="F133" i="3"/>
  <c r="C67" i="3"/>
  <c r="E67" i="3"/>
  <c r="C83" i="3"/>
  <c r="E83" i="3"/>
  <c r="K99" i="3"/>
  <c r="G99" i="3"/>
  <c r="C99" i="3"/>
  <c r="J99" i="3"/>
  <c r="F99" i="3"/>
  <c r="I99" i="3"/>
  <c r="E99" i="3"/>
  <c r="H99" i="3"/>
  <c r="D99" i="3"/>
  <c r="K115" i="3"/>
  <c r="G115" i="3"/>
  <c r="C115" i="3"/>
  <c r="J115" i="3"/>
  <c r="F115" i="3"/>
  <c r="I115" i="3"/>
  <c r="E115" i="3"/>
  <c r="H115" i="3"/>
  <c r="D115" i="3"/>
  <c r="I137" i="3"/>
  <c r="E137" i="3"/>
  <c r="H137" i="3"/>
  <c r="D137" i="3"/>
  <c r="K137" i="3"/>
  <c r="G137" i="3"/>
  <c r="C137" i="3"/>
  <c r="J137" i="3"/>
  <c r="F137" i="3"/>
  <c r="I185" i="3"/>
  <c r="E185" i="3"/>
  <c r="H185" i="3"/>
  <c r="D185" i="3"/>
  <c r="K185" i="3"/>
  <c r="G185" i="3"/>
  <c r="C185" i="3"/>
  <c r="J185" i="3"/>
  <c r="F185" i="3"/>
  <c r="C55" i="3"/>
  <c r="E55" i="3"/>
  <c r="C47" i="3"/>
  <c r="E47" i="3"/>
  <c r="C39" i="3"/>
  <c r="E39" i="3"/>
  <c r="C31" i="3"/>
  <c r="E31" i="3"/>
  <c r="C23" i="3"/>
  <c r="E23" i="3"/>
  <c r="C15" i="3"/>
  <c r="E15" i="3"/>
  <c r="E64" i="3"/>
  <c r="C64" i="3"/>
  <c r="E72" i="3"/>
  <c r="C72" i="3"/>
  <c r="E80" i="3"/>
  <c r="C80" i="3"/>
  <c r="E88" i="3"/>
  <c r="C88" i="3"/>
  <c r="E96" i="3"/>
  <c r="C96" i="3"/>
  <c r="I104" i="3"/>
  <c r="E104" i="3"/>
  <c r="H104" i="3"/>
  <c r="D104" i="3"/>
  <c r="K104" i="3"/>
  <c r="G104" i="3"/>
  <c r="C104" i="3"/>
  <c r="J104" i="3"/>
  <c r="F104" i="3"/>
  <c r="I112" i="3"/>
  <c r="E112" i="3"/>
  <c r="H112" i="3"/>
  <c r="D112" i="3"/>
  <c r="K112" i="3"/>
  <c r="G112" i="3"/>
  <c r="C112" i="3"/>
  <c r="J112" i="3"/>
  <c r="F112" i="3"/>
  <c r="I120" i="3"/>
  <c r="E120" i="3"/>
  <c r="H120" i="3"/>
  <c r="D120" i="3"/>
  <c r="K120" i="3"/>
  <c r="G120" i="3"/>
  <c r="C120" i="3"/>
  <c r="J120" i="3"/>
  <c r="F120" i="3"/>
  <c r="I131" i="3"/>
  <c r="E131" i="3"/>
  <c r="H131" i="3"/>
  <c r="D131" i="3"/>
  <c r="K131" i="3"/>
  <c r="G131" i="3"/>
  <c r="C131" i="3"/>
  <c r="J131" i="3"/>
  <c r="F131" i="3"/>
  <c r="C61" i="3"/>
  <c r="E61" i="3"/>
  <c r="C69" i="3"/>
  <c r="E69" i="3"/>
  <c r="C77" i="3"/>
  <c r="E77" i="3"/>
  <c r="C85" i="3"/>
  <c r="E85" i="3"/>
  <c r="C93" i="3"/>
  <c r="E93" i="3"/>
  <c r="K101" i="3"/>
  <c r="G101" i="3"/>
  <c r="C101" i="3"/>
  <c r="J101" i="3"/>
  <c r="F101" i="3"/>
  <c r="I101" i="3"/>
  <c r="E101" i="3"/>
  <c r="H101" i="3"/>
  <c r="D101" i="3"/>
  <c r="K109" i="3"/>
  <c r="G109" i="3"/>
  <c r="C109" i="3"/>
  <c r="J109" i="3"/>
  <c r="F109" i="3"/>
  <c r="I109" i="3"/>
  <c r="E109" i="3"/>
  <c r="H109" i="3"/>
  <c r="D109" i="3"/>
  <c r="K117" i="3"/>
  <c r="G117" i="3"/>
  <c r="C117" i="3"/>
  <c r="J117" i="3"/>
  <c r="F117" i="3"/>
  <c r="I117" i="3"/>
  <c r="E117" i="3"/>
  <c r="H117" i="3"/>
  <c r="D117" i="3"/>
  <c r="K126" i="3"/>
  <c r="G126" i="3"/>
  <c r="C126" i="3"/>
  <c r="I126" i="3"/>
  <c r="E126" i="3"/>
  <c r="D126" i="3"/>
  <c r="J126" i="3"/>
  <c r="H126" i="3"/>
  <c r="F126" i="3"/>
  <c r="I139" i="3"/>
  <c r="E139" i="3"/>
  <c r="H139" i="3"/>
  <c r="D139" i="3"/>
  <c r="K139" i="3"/>
  <c r="G139" i="3"/>
  <c r="C139" i="3"/>
  <c r="J139" i="3"/>
  <c r="F139" i="3"/>
  <c r="I147" i="3"/>
  <c r="E147" i="3"/>
  <c r="H147" i="3"/>
  <c r="D147" i="3"/>
  <c r="K147" i="3"/>
  <c r="G147" i="3"/>
  <c r="C147" i="3"/>
  <c r="J147" i="3"/>
  <c r="F147" i="3"/>
  <c r="I161" i="3"/>
  <c r="E161" i="3"/>
  <c r="H161" i="3"/>
  <c r="D161" i="3"/>
  <c r="K161" i="3"/>
  <c r="G161" i="3"/>
  <c r="C161" i="3"/>
  <c r="J161" i="3"/>
  <c r="F161" i="3"/>
  <c r="K200" i="3"/>
  <c r="G200" i="3"/>
  <c r="C200" i="3"/>
  <c r="F200" i="3"/>
  <c r="J200" i="3"/>
  <c r="E200" i="3"/>
  <c r="I200" i="3"/>
  <c r="D200" i="3"/>
  <c r="H200" i="3"/>
  <c r="I171" i="3"/>
  <c r="E171" i="3"/>
  <c r="H171" i="3"/>
  <c r="D171" i="3"/>
  <c r="K171" i="3"/>
  <c r="G171" i="3"/>
  <c r="C171" i="3"/>
  <c r="J171" i="3"/>
  <c r="F171" i="3"/>
  <c r="I207" i="3"/>
  <c r="E207" i="3"/>
  <c r="K207" i="3"/>
  <c r="F207" i="3"/>
  <c r="J207" i="3"/>
  <c r="D207" i="3"/>
  <c r="H207" i="3"/>
  <c r="C207" i="3"/>
  <c r="G207" i="3"/>
  <c r="K134" i="3"/>
  <c r="G134" i="3"/>
  <c r="C134" i="3"/>
  <c r="J134" i="3"/>
  <c r="F134" i="3"/>
  <c r="I134" i="3"/>
  <c r="E134" i="3"/>
  <c r="H134" i="3"/>
  <c r="D134" i="3"/>
  <c r="K142" i="3"/>
  <c r="G142" i="3"/>
  <c r="C142" i="3"/>
  <c r="J142" i="3"/>
  <c r="F142" i="3"/>
  <c r="I142" i="3"/>
  <c r="E142" i="3"/>
  <c r="H142" i="3"/>
  <c r="D142" i="3"/>
  <c r="K152" i="3"/>
  <c r="G152" i="3"/>
  <c r="C152" i="3"/>
  <c r="I152" i="3"/>
  <c r="E152" i="3"/>
  <c r="D152" i="3"/>
  <c r="J152" i="3"/>
  <c r="H152" i="3"/>
  <c r="F152" i="3"/>
  <c r="I181" i="3"/>
  <c r="E181" i="3"/>
  <c r="H181" i="3"/>
  <c r="D181" i="3"/>
  <c r="K181" i="3"/>
  <c r="G181" i="3"/>
  <c r="C181" i="3"/>
  <c r="F181" i="3"/>
  <c r="J181" i="3"/>
  <c r="I149" i="3"/>
  <c r="E149" i="3"/>
  <c r="K149" i="3"/>
  <c r="G149" i="3"/>
  <c r="C149" i="3"/>
  <c r="J149" i="3"/>
  <c r="H149" i="3"/>
  <c r="F149" i="3"/>
  <c r="D149" i="3"/>
  <c r="I167" i="3"/>
  <c r="E167" i="3"/>
  <c r="H167" i="3"/>
  <c r="D167" i="3"/>
  <c r="K167" i="3"/>
  <c r="G167" i="3"/>
  <c r="C167" i="3"/>
  <c r="J167" i="3"/>
  <c r="F167" i="3"/>
  <c r="K208" i="3"/>
  <c r="G208" i="3"/>
  <c r="C208" i="3"/>
  <c r="J208" i="3"/>
  <c r="F208" i="3"/>
  <c r="H208" i="3"/>
  <c r="E208" i="3"/>
  <c r="D208" i="3"/>
  <c r="I208" i="3"/>
  <c r="K206" i="3"/>
  <c r="G206" i="3"/>
  <c r="C206" i="3"/>
  <c r="J206" i="3"/>
  <c r="E206" i="3"/>
  <c r="I206" i="3"/>
  <c r="D206" i="3"/>
  <c r="H206" i="3"/>
  <c r="F206" i="3"/>
  <c r="K160" i="3"/>
  <c r="G160" i="3"/>
  <c r="C160" i="3"/>
  <c r="J160" i="3"/>
  <c r="F160" i="3"/>
  <c r="I160" i="3"/>
  <c r="E160" i="3"/>
  <c r="H160" i="3"/>
  <c r="D160" i="3"/>
  <c r="K168" i="3"/>
  <c r="G168" i="3"/>
  <c r="C168" i="3"/>
  <c r="J168" i="3"/>
  <c r="F168" i="3"/>
  <c r="I168" i="3"/>
  <c r="E168" i="3"/>
  <c r="H168" i="3"/>
  <c r="D168" i="3"/>
  <c r="K176" i="3"/>
  <c r="G176" i="3"/>
  <c r="C176" i="3"/>
  <c r="J176" i="3"/>
  <c r="F176" i="3"/>
  <c r="I176" i="3"/>
  <c r="E176" i="3"/>
  <c r="H176" i="3"/>
  <c r="D176" i="3"/>
  <c r="K184" i="3"/>
  <c r="G184" i="3"/>
  <c r="C184" i="3"/>
  <c r="J184" i="3"/>
  <c r="F184" i="3"/>
  <c r="I184" i="3"/>
  <c r="E184" i="3"/>
  <c r="H184" i="3"/>
  <c r="D184" i="3"/>
  <c r="I195" i="3"/>
  <c r="E195" i="3"/>
  <c r="H195" i="3"/>
  <c r="C195" i="3"/>
  <c r="G195" i="3"/>
  <c r="K195" i="3"/>
  <c r="F195" i="3"/>
  <c r="D195" i="3"/>
  <c r="J195" i="3"/>
  <c r="I252" i="3"/>
  <c r="E252" i="3"/>
  <c r="H252" i="3"/>
  <c r="D252" i="3"/>
  <c r="K252" i="3"/>
  <c r="G252" i="3"/>
  <c r="C252" i="3"/>
  <c r="J252" i="3"/>
  <c r="F252" i="3"/>
  <c r="K194" i="3"/>
  <c r="G194" i="3"/>
  <c r="C194" i="3"/>
  <c r="H194" i="3"/>
  <c r="F194" i="3"/>
  <c r="J194" i="3"/>
  <c r="E194" i="3"/>
  <c r="I194" i="3"/>
  <c r="D194" i="3"/>
  <c r="I260" i="3"/>
  <c r="E260" i="3"/>
  <c r="H260" i="3"/>
  <c r="D260" i="3"/>
  <c r="K260" i="3"/>
  <c r="G260" i="3"/>
  <c r="C260" i="3"/>
  <c r="J260" i="3"/>
  <c r="F260" i="3"/>
  <c r="H216" i="3"/>
  <c r="D216" i="3"/>
  <c r="K216" i="3"/>
  <c r="G216" i="3"/>
  <c r="C216" i="3"/>
  <c r="J216" i="3"/>
  <c r="F216" i="3"/>
  <c r="I216" i="3"/>
  <c r="E216" i="3"/>
  <c r="H224" i="3"/>
  <c r="D224" i="3"/>
  <c r="K224" i="3"/>
  <c r="G224" i="3"/>
  <c r="C224" i="3"/>
  <c r="J224" i="3"/>
  <c r="F224" i="3"/>
  <c r="I224" i="3"/>
  <c r="E224" i="3"/>
  <c r="H232" i="3"/>
  <c r="D232" i="3"/>
  <c r="K232" i="3"/>
  <c r="G232" i="3"/>
  <c r="C232" i="3"/>
  <c r="J232" i="3"/>
  <c r="F232" i="3"/>
  <c r="I232" i="3"/>
  <c r="E232" i="3"/>
  <c r="K241" i="3"/>
  <c r="G241" i="3"/>
  <c r="C241" i="3"/>
  <c r="I241" i="3"/>
  <c r="E241" i="3"/>
  <c r="F241" i="3"/>
  <c r="D241" i="3"/>
  <c r="J241" i="3"/>
  <c r="H241" i="3"/>
  <c r="I262" i="3"/>
  <c r="E262" i="3"/>
  <c r="H262" i="3"/>
  <c r="D262" i="3"/>
  <c r="K262" i="3"/>
  <c r="G262" i="3"/>
  <c r="C262" i="3"/>
  <c r="J262" i="3"/>
  <c r="F262" i="3"/>
  <c r="I297" i="3"/>
  <c r="E297" i="3"/>
  <c r="K297" i="3"/>
  <c r="F297" i="3"/>
  <c r="J297" i="3"/>
  <c r="D297" i="3"/>
  <c r="H297" i="3"/>
  <c r="C297" i="3"/>
  <c r="G297" i="3"/>
  <c r="I246" i="3"/>
  <c r="E246" i="3"/>
  <c r="K246" i="3"/>
  <c r="G246" i="3"/>
  <c r="C246" i="3"/>
  <c r="D246" i="3"/>
  <c r="J246" i="3"/>
  <c r="H246" i="3"/>
  <c r="F246" i="3"/>
  <c r="I272" i="3"/>
  <c r="E272" i="3"/>
  <c r="H272" i="3"/>
  <c r="D272" i="3"/>
  <c r="K272" i="3"/>
  <c r="G272" i="3"/>
  <c r="C272" i="3"/>
  <c r="F272" i="3"/>
  <c r="J272" i="3"/>
  <c r="J213" i="3"/>
  <c r="F213" i="3"/>
  <c r="I213" i="3"/>
  <c r="E213" i="3"/>
  <c r="H213" i="3"/>
  <c r="D213" i="3"/>
  <c r="K213" i="3"/>
  <c r="G213" i="3"/>
  <c r="C213" i="3"/>
  <c r="J221" i="3"/>
  <c r="F221" i="3"/>
  <c r="I221" i="3"/>
  <c r="E221" i="3"/>
  <c r="H221" i="3"/>
  <c r="D221" i="3"/>
  <c r="K221" i="3"/>
  <c r="G221" i="3"/>
  <c r="C221" i="3"/>
  <c r="J229" i="3"/>
  <c r="F229" i="3"/>
  <c r="I229" i="3"/>
  <c r="E229" i="3"/>
  <c r="H229" i="3"/>
  <c r="D229" i="3"/>
  <c r="K229" i="3"/>
  <c r="G229" i="3"/>
  <c r="C229" i="3"/>
  <c r="J237" i="3"/>
  <c r="F237" i="3"/>
  <c r="I237" i="3"/>
  <c r="E237" i="3"/>
  <c r="H237" i="3"/>
  <c r="D237" i="3"/>
  <c r="K237" i="3"/>
  <c r="G237" i="3"/>
  <c r="C237" i="3"/>
  <c r="I258" i="3"/>
  <c r="E258" i="3"/>
  <c r="H258" i="3"/>
  <c r="D258" i="3"/>
  <c r="K258" i="3"/>
  <c r="G258" i="3"/>
  <c r="C258" i="3"/>
  <c r="J258" i="3"/>
  <c r="F258" i="3"/>
  <c r="I290" i="3"/>
  <c r="E290" i="3"/>
  <c r="H290" i="3"/>
  <c r="D290" i="3"/>
  <c r="K290" i="3"/>
  <c r="G290" i="3"/>
  <c r="C290" i="3"/>
  <c r="J290" i="3"/>
  <c r="F290" i="3"/>
  <c r="K253" i="3"/>
  <c r="G253" i="3"/>
  <c r="C253" i="3"/>
  <c r="J253" i="3"/>
  <c r="F253" i="3"/>
  <c r="I253" i="3"/>
  <c r="E253" i="3"/>
  <c r="D253" i="3"/>
  <c r="H253" i="3"/>
  <c r="K261" i="3"/>
  <c r="G261" i="3"/>
  <c r="C261" i="3"/>
  <c r="J261" i="3"/>
  <c r="F261" i="3"/>
  <c r="I261" i="3"/>
  <c r="E261" i="3"/>
  <c r="D261" i="3"/>
  <c r="H261" i="3"/>
  <c r="K269" i="3"/>
  <c r="G269" i="3"/>
  <c r="C269" i="3"/>
  <c r="J269" i="3"/>
  <c r="F269" i="3"/>
  <c r="I269" i="3"/>
  <c r="E269" i="3"/>
  <c r="D269" i="3"/>
  <c r="H269" i="3"/>
  <c r="K277" i="3"/>
  <c r="G277" i="3"/>
  <c r="C277" i="3"/>
  <c r="J277" i="3"/>
  <c r="F277" i="3"/>
  <c r="I277" i="3"/>
  <c r="E277" i="3"/>
  <c r="D277" i="3"/>
  <c r="H277" i="3"/>
  <c r="K285" i="3"/>
  <c r="G285" i="3"/>
  <c r="C285" i="3"/>
  <c r="J285" i="3"/>
  <c r="F285" i="3"/>
  <c r="I285" i="3"/>
  <c r="E285" i="3"/>
  <c r="D285" i="3"/>
  <c r="H285" i="3"/>
  <c r="I293" i="3"/>
  <c r="E293" i="3"/>
  <c r="H293" i="3"/>
  <c r="C293" i="3"/>
  <c r="G293" i="3"/>
  <c r="K293" i="3"/>
  <c r="F293" i="3"/>
  <c r="J293" i="3"/>
  <c r="D293" i="3"/>
  <c r="K292" i="3"/>
  <c r="G292" i="3"/>
  <c r="C292" i="3"/>
  <c r="H292" i="3"/>
  <c r="F292" i="3"/>
  <c r="J292" i="3"/>
  <c r="E292" i="3"/>
  <c r="I292" i="3"/>
  <c r="D292" i="3"/>
  <c r="H304" i="3"/>
  <c r="D304" i="3"/>
  <c r="K304" i="3"/>
  <c r="G304" i="3"/>
  <c r="C304" i="3"/>
  <c r="J304" i="3"/>
  <c r="F304" i="3"/>
  <c r="E304" i="3"/>
  <c r="I304" i="3"/>
  <c r="H312" i="3"/>
  <c r="D312" i="3"/>
  <c r="K312" i="3"/>
  <c r="G312" i="3"/>
  <c r="C312" i="3"/>
  <c r="J312" i="3"/>
  <c r="F312" i="3"/>
  <c r="E312" i="3"/>
  <c r="I312" i="3"/>
  <c r="H320" i="3"/>
  <c r="D320" i="3"/>
  <c r="K320" i="3"/>
  <c r="G320" i="3"/>
  <c r="C320" i="3"/>
  <c r="J320" i="3"/>
  <c r="F320" i="3"/>
  <c r="E320" i="3"/>
  <c r="I320" i="3"/>
  <c r="I328" i="3"/>
  <c r="E328" i="3"/>
  <c r="H328" i="3"/>
  <c r="J328" i="3"/>
  <c r="C328" i="3"/>
  <c r="G328" i="3"/>
  <c r="F328" i="3"/>
  <c r="K328" i="3"/>
  <c r="D328" i="3"/>
  <c r="J307" i="3"/>
  <c r="F307" i="3"/>
  <c r="I307" i="3"/>
  <c r="E307" i="3"/>
  <c r="H307" i="3"/>
  <c r="D307" i="3"/>
  <c r="G307" i="3"/>
  <c r="C307" i="3"/>
  <c r="K307" i="3"/>
  <c r="J315" i="3"/>
  <c r="F315" i="3"/>
  <c r="I315" i="3"/>
  <c r="E315" i="3"/>
  <c r="H315" i="3"/>
  <c r="D315" i="3"/>
  <c r="G315" i="3"/>
  <c r="C315" i="3"/>
  <c r="K315" i="3"/>
  <c r="K323" i="3"/>
  <c r="J323" i="3"/>
  <c r="F323" i="3"/>
  <c r="I323" i="3"/>
  <c r="E323" i="3"/>
  <c r="H323" i="3"/>
  <c r="D323" i="3"/>
  <c r="G323" i="3"/>
  <c r="C323" i="3"/>
  <c r="I365" i="3"/>
  <c r="E365" i="3"/>
  <c r="H365" i="3"/>
  <c r="D365" i="3"/>
  <c r="K365" i="3"/>
  <c r="G365" i="3"/>
  <c r="C365" i="3"/>
  <c r="J365" i="3"/>
  <c r="F365" i="3"/>
  <c r="H335" i="3"/>
  <c r="D335" i="3"/>
  <c r="K335" i="3"/>
  <c r="G335" i="3"/>
  <c r="C335" i="3"/>
  <c r="J335" i="3"/>
  <c r="F335" i="3"/>
  <c r="I335" i="3"/>
  <c r="E335" i="3"/>
  <c r="K347" i="3"/>
  <c r="G347" i="3"/>
  <c r="C347" i="3"/>
  <c r="J347" i="3"/>
  <c r="E347" i="3"/>
  <c r="I347" i="3"/>
  <c r="D347" i="3"/>
  <c r="H347" i="3"/>
  <c r="F347" i="3"/>
  <c r="H363" i="3"/>
  <c r="D363" i="3"/>
  <c r="K363" i="3"/>
  <c r="G363" i="3"/>
  <c r="C363" i="3"/>
  <c r="F363" i="3"/>
  <c r="E363" i="3"/>
  <c r="J363" i="3"/>
  <c r="I363" i="3"/>
  <c r="I352" i="3"/>
  <c r="E352" i="3"/>
  <c r="H352" i="3"/>
  <c r="C352" i="3"/>
  <c r="G352" i="3"/>
  <c r="K352" i="3"/>
  <c r="F352" i="3"/>
  <c r="J352" i="3"/>
  <c r="D352" i="3"/>
  <c r="J334" i="3"/>
  <c r="F334" i="3"/>
  <c r="I334" i="3"/>
  <c r="E334" i="3"/>
  <c r="H334" i="3"/>
  <c r="D334" i="3"/>
  <c r="K334" i="3"/>
  <c r="G334" i="3"/>
  <c r="C334" i="3"/>
  <c r="K343" i="3"/>
  <c r="G343" i="3"/>
  <c r="C343" i="3"/>
  <c r="H343" i="3"/>
  <c r="F343" i="3"/>
  <c r="J343" i="3"/>
  <c r="E343" i="3"/>
  <c r="I343" i="3"/>
  <c r="D343" i="3"/>
  <c r="H361" i="3"/>
  <c r="D361" i="3"/>
  <c r="K361" i="3"/>
  <c r="G361" i="3"/>
  <c r="C361" i="3"/>
  <c r="J361" i="3"/>
  <c r="I361" i="3"/>
  <c r="F361" i="3"/>
  <c r="E361" i="3"/>
  <c r="J360" i="3"/>
  <c r="F360" i="3"/>
  <c r="I360" i="3"/>
  <c r="E360" i="3"/>
  <c r="D360" i="3"/>
  <c r="K360" i="3"/>
  <c r="C360" i="3"/>
  <c r="H360" i="3"/>
  <c r="G360" i="3"/>
  <c r="K368" i="3"/>
  <c r="G368" i="3"/>
  <c r="C368" i="3"/>
  <c r="J368" i="3"/>
  <c r="F368" i="3"/>
  <c r="I368" i="3"/>
  <c r="E368" i="3"/>
  <c r="H368" i="3"/>
  <c r="D368" i="3"/>
  <c r="E54" i="3"/>
  <c r="C54" i="3"/>
  <c r="E46" i="3"/>
  <c r="C46" i="3"/>
  <c r="E38" i="3"/>
  <c r="C38" i="3"/>
  <c r="E30" i="3"/>
  <c r="C30" i="3"/>
  <c r="E22" i="3"/>
  <c r="C22" i="3"/>
  <c r="E14" i="3"/>
  <c r="C14" i="3"/>
  <c r="E58" i="3"/>
  <c r="C53" i="3"/>
  <c r="E53" i="3"/>
  <c r="C37" i="3"/>
  <c r="E37" i="3"/>
  <c r="C21" i="3"/>
  <c r="E21" i="3"/>
  <c r="E66" i="3"/>
  <c r="C66" i="3"/>
  <c r="E82" i="3"/>
  <c r="C82" i="3"/>
  <c r="I98" i="3"/>
  <c r="E98" i="3"/>
  <c r="H98" i="3"/>
  <c r="D98" i="3"/>
  <c r="K98" i="3"/>
  <c r="G98" i="3"/>
  <c r="C98" i="3"/>
  <c r="J98" i="3"/>
  <c r="F98" i="3"/>
  <c r="I114" i="3"/>
  <c r="E114" i="3"/>
  <c r="H114" i="3"/>
  <c r="D114" i="3"/>
  <c r="K114" i="3"/>
  <c r="G114" i="3"/>
  <c r="C114" i="3"/>
  <c r="J114" i="3"/>
  <c r="F114" i="3"/>
  <c r="I125" i="3"/>
  <c r="E125" i="3"/>
  <c r="K125" i="3"/>
  <c r="G125" i="3"/>
  <c r="C125" i="3"/>
  <c r="F125" i="3"/>
  <c r="D125" i="3"/>
  <c r="J125" i="3"/>
  <c r="H125" i="3"/>
  <c r="C71" i="3"/>
  <c r="E71" i="3"/>
  <c r="C87" i="3"/>
  <c r="E87" i="3"/>
  <c r="K103" i="3"/>
  <c r="G103" i="3"/>
  <c r="C103" i="3"/>
  <c r="J103" i="3"/>
  <c r="F103" i="3"/>
  <c r="I103" i="3"/>
  <c r="E103" i="3"/>
  <c r="H103" i="3"/>
  <c r="D103" i="3"/>
  <c r="K119" i="3"/>
  <c r="G119" i="3"/>
  <c r="C119" i="3"/>
  <c r="J119" i="3"/>
  <c r="F119" i="3"/>
  <c r="I119" i="3"/>
  <c r="E119" i="3"/>
  <c r="H119" i="3"/>
  <c r="D119" i="3"/>
  <c r="I127" i="3"/>
  <c r="E127" i="3"/>
  <c r="K127" i="3"/>
  <c r="G127" i="3"/>
  <c r="C127" i="3"/>
  <c r="J127" i="3"/>
  <c r="H127" i="3"/>
  <c r="F127" i="3"/>
  <c r="D127" i="3"/>
  <c r="I141" i="3"/>
  <c r="E141" i="3"/>
  <c r="H141" i="3"/>
  <c r="D141" i="3"/>
  <c r="K141" i="3"/>
  <c r="G141" i="3"/>
  <c r="C141" i="3"/>
  <c r="J141" i="3"/>
  <c r="F141" i="3"/>
  <c r="K150" i="3"/>
  <c r="G150" i="3"/>
  <c r="C150" i="3"/>
  <c r="I150" i="3"/>
  <c r="E150" i="3"/>
  <c r="H150" i="3"/>
  <c r="F150" i="3"/>
  <c r="D150" i="3"/>
  <c r="J150" i="3"/>
  <c r="I169" i="3"/>
  <c r="E169" i="3"/>
  <c r="H169" i="3"/>
  <c r="D169" i="3"/>
  <c r="K169" i="3"/>
  <c r="G169" i="3"/>
  <c r="C169" i="3"/>
  <c r="J169" i="3"/>
  <c r="F169" i="3"/>
  <c r="I151" i="3"/>
  <c r="E151" i="3"/>
  <c r="K151" i="3"/>
  <c r="G151" i="3"/>
  <c r="C151" i="3"/>
  <c r="F151" i="3"/>
  <c r="D151" i="3"/>
  <c r="J151" i="3"/>
  <c r="H151" i="3"/>
  <c r="I179" i="3"/>
  <c r="E179" i="3"/>
  <c r="H179" i="3"/>
  <c r="D179" i="3"/>
  <c r="K179" i="3"/>
  <c r="G179" i="3"/>
  <c r="C179" i="3"/>
  <c r="J179" i="3"/>
  <c r="F179" i="3"/>
  <c r="I244" i="3"/>
  <c r="E244" i="3"/>
  <c r="K244" i="3"/>
  <c r="G244" i="3"/>
  <c r="C244" i="3"/>
  <c r="H244" i="3"/>
  <c r="F244" i="3"/>
  <c r="D244" i="3"/>
  <c r="J244" i="3"/>
  <c r="K136" i="3"/>
  <c r="G136" i="3"/>
  <c r="C136" i="3"/>
  <c r="J136" i="3"/>
  <c r="F136" i="3"/>
  <c r="I136" i="3"/>
  <c r="E136" i="3"/>
  <c r="H136" i="3"/>
  <c r="D136" i="3"/>
  <c r="K144" i="3"/>
  <c r="G144" i="3"/>
  <c r="C144" i="3"/>
  <c r="J144" i="3"/>
  <c r="F144" i="3"/>
  <c r="I144" i="3"/>
  <c r="E144" i="3"/>
  <c r="H144" i="3"/>
  <c r="D144" i="3"/>
  <c r="K156" i="3"/>
  <c r="G156" i="3"/>
  <c r="C156" i="3"/>
  <c r="I156" i="3"/>
  <c r="E156" i="3"/>
  <c r="D156" i="3"/>
  <c r="J156" i="3"/>
  <c r="H156" i="3"/>
  <c r="F156" i="3"/>
  <c r="I189" i="3"/>
  <c r="E189" i="3"/>
  <c r="H189" i="3"/>
  <c r="D189" i="3"/>
  <c r="K189" i="3"/>
  <c r="G189" i="3"/>
  <c r="C189" i="3"/>
  <c r="F189" i="3"/>
  <c r="J189" i="3"/>
  <c r="I153" i="3"/>
  <c r="E153" i="3"/>
  <c r="K153" i="3"/>
  <c r="G153" i="3"/>
  <c r="C153" i="3"/>
  <c r="J153" i="3"/>
  <c r="H153" i="3"/>
  <c r="F153" i="3"/>
  <c r="D153" i="3"/>
  <c r="I175" i="3"/>
  <c r="E175" i="3"/>
  <c r="H175" i="3"/>
  <c r="D175" i="3"/>
  <c r="K175" i="3"/>
  <c r="G175" i="3"/>
  <c r="C175" i="3"/>
  <c r="J175" i="3"/>
  <c r="F175" i="3"/>
  <c r="I197" i="3"/>
  <c r="E197" i="3"/>
  <c r="J197" i="3"/>
  <c r="D197" i="3"/>
  <c r="H197" i="3"/>
  <c r="C197" i="3"/>
  <c r="G197" i="3"/>
  <c r="F197" i="3"/>
  <c r="K197" i="3"/>
  <c r="J209" i="3"/>
  <c r="I209" i="3"/>
  <c r="E209" i="3"/>
  <c r="H209" i="3"/>
  <c r="D209" i="3"/>
  <c r="F209" i="3"/>
  <c r="C209" i="3"/>
  <c r="K209" i="3"/>
  <c r="G209" i="3"/>
  <c r="K162" i="3"/>
  <c r="G162" i="3"/>
  <c r="C162" i="3"/>
  <c r="J162" i="3"/>
  <c r="F162" i="3"/>
  <c r="I162" i="3"/>
  <c r="E162" i="3"/>
  <c r="D162" i="3"/>
  <c r="H162" i="3"/>
  <c r="K170" i="3"/>
  <c r="G170" i="3"/>
  <c r="C170" i="3"/>
  <c r="J170" i="3"/>
  <c r="F170" i="3"/>
  <c r="I170" i="3"/>
  <c r="E170" i="3"/>
  <c r="D170" i="3"/>
  <c r="H170" i="3"/>
  <c r="K178" i="3"/>
  <c r="G178" i="3"/>
  <c r="C178" i="3"/>
  <c r="J178" i="3"/>
  <c r="F178" i="3"/>
  <c r="I178" i="3"/>
  <c r="E178" i="3"/>
  <c r="D178" i="3"/>
  <c r="H178" i="3"/>
  <c r="K186" i="3"/>
  <c r="G186" i="3"/>
  <c r="C186" i="3"/>
  <c r="J186" i="3"/>
  <c r="F186" i="3"/>
  <c r="I186" i="3"/>
  <c r="E186" i="3"/>
  <c r="D186" i="3"/>
  <c r="H186" i="3"/>
  <c r="K196" i="3"/>
  <c r="G196" i="3"/>
  <c r="C196" i="3"/>
  <c r="I196" i="3"/>
  <c r="D196" i="3"/>
  <c r="H196" i="3"/>
  <c r="F196" i="3"/>
  <c r="J196" i="3"/>
  <c r="E196" i="3"/>
  <c r="I284" i="3"/>
  <c r="E284" i="3"/>
  <c r="H284" i="3"/>
  <c r="D284" i="3"/>
  <c r="K284" i="3"/>
  <c r="G284" i="3"/>
  <c r="C284" i="3"/>
  <c r="J284" i="3"/>
  <c r="F284" i="3"/>
  <c r="I201" i="3"/>
  <c r="E201" i="3"/>
  <c r="G201" i="3"/>
  <c r="K201" i="3"/>
  <c r="F201" i="3"/>
  <c r="J201" i="3"/>
  <c r="D201" i="3"/>
  <c r="H201" i="3"/>
  <c r="C201" i="3"/>
  <c r="H210" i="3"/>
  <c r="D210" i="3"/>
  <c r="K210" i="3"/>
  <c r="G210" i="3"/>
  <c r="C210" i="3"/>
  <c r="J210" i="3"/>
  <c r="F210" i="3"/>
  <c r="I210" i="3"/>
  <c r="E210" i="3"/>
  <c r="H218" i="3"/>
  <c r="D218" i="3"/>
  <c r="K218" i="3"/>
  <c r="G218" i="3"/>
  <c r="C218" i="3"/>
  <c r="J218" i="3"/>
  <c r="F218" i="3"/>
  <c r="I218" i="3"/>
  <c r="E218" i="3"/>
  <c r="H226" i="3"/>
  <c r="D226" i="3"/>
  <c r="K226" i="3"/>
  <c r="G226" i="3"/>
  <c r="C226" i="3"/>
  <c r="J226" i="3"/>
  <c r="F226" i="3"/>
  <c r="I226" i="3"/>
  <c r="E226" i="3"/>
  <c r="H234" i="3"/>
  <c r="D234" i="3"/>
  <c r="K234" i="3"/>
  <c r="G234" i="3"/>
  <c r="C234" i="3"/>
  <c r="J234" i="3"/>
  <c r="F234" i="3"/>
  <c r="I234" i="3"/>
  <c r="E234" i="3"/>
  <c r="K245" i="3"/>
  <c r="G245" i="3"/>
  <c r="C245" i="3"/>
  <c r="I245" i="3"/>
  <c r="E245" i="3"/>
  <c r="F245" i="3"/>
  <c r="D245" i="3"/>
  <c r="J245" i="3"/>
  <c r="H245" i="3"/>
  <c r="I270" i="3"/>
  <c r="E270" i="3"/>
  <c r="H270" i="3"/>
  <c r="D270" i="3"/>
  <c r="K270" i="3"/>
  <c r="G270" i="3"/>
  <c r="C270" i="3"/>
  <c r="J270" i="3"/>
  <c r="F270" i="3"/>
  <c r="I324" i="3"/>
  <c r="E324" i="3"/>
  <c r="K324" i="3"/>
  <c r="F324" i="3"/>
  <c r="J324" i="3"/>
  <c r="D324" i="3"/>
  <c r="H324" i="3"/>
  <c r="C324" i="3"/>
  <c r="G324" i="3"/>
  <c r="I250" i="3"/>
  <c r="E250" i="3"/>
  <c r="K250" i="3"/>
  <c r="G250" i="3"/>
  <c r="C250" i="3"/>
  <c r="D250" i="3"/>
  <c r="J250" i="3"/>
  <c r="H250" i="3"/>
  <c r="F250" i="3"/>
  <c r="I280" i="3"/>
  <c r="E280" i="3"/>
  <c r="H280" i="3"/>
  <c r="D280" i="3"/>
  <c r="K280" i="3"/>
  <c r="G280" i="3"/>
  <c r="C280" i="3"/>
  <c r="F280" i="3"/>
  <c r="J280" i="3"/>
  <c r="J215" i="3"/>
  <c r="F215" i="3"/>
  <c r="I215" i="3"/>
  <c r="E215" i="3"/>
  <c r="H215" i="3"/>
  <c r="D215" i="3"/>
  <c r="G215" i="3"/>
  <c r="C215" i="3"/>
  <c r="K215" i="3"/>
  <c r="J223" i="3"/>
  <c r="F223" i="3"/>
  <c r="I223" i="3"/>
  <c r="E223" i="3"/>
  <c r="H223" i="3"/>
  <c r="D223" i="3"/>
  <c r="G223" i="3"/>
  <c r="C223" i="3"/>
  <c r="K223" i="3"/>
  <c r="J231" i="3"/>
  <c r="F231" i="3"/>
  <c r="I231" i="3"/>
  <c r="E231" i="3"/>
  <c r="H231" i="3"/>
  <c r="D231" i="3"/>
  <c r="G231" i="3"/>
  <c r="C231" i="3"/>
  <c r="K231" i="3"/>
  <c r="K243" i="3"/>
  <c r="G243" i="3"/>
  <c r="C243" i="3"/>
  <c r="I243" i="3"/>
  <c r="E243" i="3"/>
  <c r="J243" i="3"/>
  <c r="H243" i="3"/>
  <c r="F243" i="3"/>
  <c r="D243" i="3"/>
  <c r="I266" i="3"/>
  <c r="E266" i="3"/>
  <c r="H266" i="3"/>
  <c r="D266" i="3"/>
  <c r="K266" i="3"/>
  <c r="G266" i="3"/>
  <c r="C266" i="3"/>
  <c r="J266" i="3"/>
  <c r="F266" i="3"/>
  <c r="I295" i="3"/>
  <c r="E295" i="3"/>
  <c r="J295" i="3"/>
  <c r="D295" i="3"/>
  <c r="H295" i="3"/>
  <c r="C295" i="3"/>
  <c r="G295" i="3"/>
  <c r="K295" i="3"/>
  <c r="F295" i="3"/>
  <c r="K255" i="3"/>
  <c r="G255" i="3"/>
  <c r="C255" i="3"/>
  <c r="J255" i="3"/>
  <c r="F255" i="3"/>
  <c r="I255" i="3"/>
  <c r="E255" i="3"/>
  <c r="H255" i="3"/>
  <c r="D255" i="3"/>
  <c r="K263" i="3"/>
  <c r="G263" i="3"/>
  <c r="C263" i="3"/>
  <c r="J263" i="3"/>
  <c r="F263" i="3"/>
  <c r="I263" i="3"/>
  <c r="E263" i="3"/>
  <c r="H263" i="3"/>
  <c r="D263" i="3"/>
  <c r="K271" i="3"/>
  <c r="G271" i="3"/>
  <c r="C271" i="3"/>
  <c r="J271" i="3"/>
  <c r="F271" i="3"/>
  <c r="I271" i="3"/>
  <c r="E271" i="3"/>
  <c r="H271" i="3"/>
  <c r="D271" i="3"/>
  <c r="K279" i="3"/>
  <c r="G279" i="3"/>
  <c r="C279" i="3"/>
  <c r="J279" i="3"/>
  <c r="F279" i="3"/>
  <c r="I279" i="3"/>
  <c r="E279" i="3"/>
  <c r="H279" i="3"/>
  <c r="D279" i="3"/>
  <c r="K287" i="3"/>
  <c r="G287" i="3"/>
  <c r="C287" i="3"/>
  <c r="J287" i="3"/>
  <c r="F287" i="3"/>
  <c r="I287" i="3"/>
  <c r="E287" i="3"/>
  <c r="H287" i="3"/>
  <c r="D287" i="3"/>
  <c r="K294" i="3"/>
  <c r="G294" i="3"/>
  <c r="C294" i="3"/>
  <c r="I294" i="3"/>
  <c r="D294" i="3"/>
  <c r="H294" i="3"/>
  <c r="F294" i="3"/>
  <c r="J294" i="3"/>
  <c r="E294" i="3"/>
  <c r="K298" i="3"/>
  <c r="G298" i="3"/>
  <c r="C298" i="3"/>
  <c r="J298" i="3"/>
  <c r="F298" i="3"/>
  <c r="I298" i="3"/>
  <c r="H298" i="3"/>
  <c r="E298" i="3"/>
  <c r="D298" i="3"/>
  <c r="H306" i="3"/>
  <c r="D306" i="3"/>
  <c r="K306" i="3"/>
  <c r="G306" i="3"/>
  <c r="C306" i="3"/>
  <c r="J306" i="3"/>
  <c r="F306" i="3"/>
  <c r="I306" i="3"/>
  <c r="E306" i="3"/>
  <c r="H314" i="3"/>
  <c r="D314" i="3"/>
  <c r="K314" i="3"/>
  <c r="G314" i="3"/>
  <c r="C314" i="3"/>
  <c r="J314" i="3"/>
  <c r="F314" i="3"/>
  <c r="I314" i="3"/>
  <c r="E314" i="3"/>
  <c r="H322" i="3"/>
  <c r="D322" i="3"/>
  <c r="K322" i="3"/>
  <c r="G322" i="3"/>
  <c r="C322" i="3"/>
  <c r="J322" i="3"/>
  <c r="F322" i="3"/>
  <c r="I322" i="3"/>
  <c r="E322" i="3"/>
  <c r="I348" i="3"/>
  <c r="E348" i="3"/>
  <c r="K348" i="3"/>
  <c r="F348" i="3"/>
  <c r="J348" i="3"/>
  <c r="D348" i="3"/>
  <c r="H348" i="3"/>
  <c r="C348" i="3"/>
  <c r="G348" i="3"/>
  <c r="J309" i="3"/>
  <c r="F309" i="3"/>
  <c r="I309" i="3"/>
  <c r="E309" i="3"/>
  <c r="H309" i="3"/>
  <c r="D309" i="3"/>
  <c r="C309" i="3"/>
  <c r="K309" i="3"/>
  <c r="G309" i="3"/>
  <c r="J317" i="3"/>
  <c r="F317" i="3"/>
  <c r="I317" i="3"/>
  <c r="E317" i="3"/>
  <c r="H317" i="3"/>
  <c r="D317" i="3"/>
  <c r="C317" i="3"/>
  <c r="K317" i="3"/>
  <c r="G317" i="3"/>
  <c r="I326" i="3"/>
  <c r="E326" i="3"/>
  <c r="G326" i="3"/>
  <c r="K326" i="3"/>
  <c r="F326" i="3"/>
  <c r="J326" i="3"/>
  <c r="D326" i="3"/>
  <c r="H326" i="3"/>
  <c r="C326" i="3"/>
  <c r="K329" i="3"/>
  <c r="G329" i="3"/>
  <c r="C329" i="3"/>
  <c r="J329" i="3"/>
  <c r="F329" i="3"/>
  <c r="H329" i="3"/>
  <c r="E329" i="3"/>
  <c r="D329" i="3"/>
  <c r="I329" i="3"/>
  <c r="H337" i="3"/>
  <c r="D337" i="3"/>
  <c r="K337" i="3"/>
  <c r="G337" i="3"/>
  <c r="C337" i="3"/>
  <c r="J337" i="3"/>
  <c r="F337" i="3"/>
  <c r="I337" i="3"/>
  <c r="E337" i="3"/>
  <c r="I354" i="3"/>
  <c r="E354" i="3"/>
  <c r="J354" i="3"/>
  <c r="D354" i="3"/>
  <c r="H354" i="3"/>
  <c r="C354" i="3"/>
  <c r="G354" i="3"/>
  <c r="K354" i="3"/>
  <c r="F354" i="3"/>
  <c r="I367" i="3"/>
  <c r="E367" i="3"/>
  <c r="H367" i="3"/>
  <c r="D367" i="3"/>
  <c r="K367" i="3"/>
  <c r="G367" i="3"/>
  <c r="C367" i="3"/>
  <c r="J367" i="3"/>
  <c r="F367" i="3"/>
  <c r="K353" i="3"/>
  <c r="G353" i="3"/>
  <c r="C353" i="3"/>
  <c r="I353" i="3"/>
  <c r="D353" i="3"/>
  <c r="H353" i="3"/>
  <c r="F353" i="3"/>
  <c r="J353" i="3"/>
  <c r="E353" i="3"/>
  <c r="J336" i="3"/>
  <c r="F336" i="3"/>
  <c r="I336" i="3"/>
  <c r="E336" i="3"/>
  <c r="H336" i="3"/>
  <c r="D336" i="3"/>
  <c r="G336" i="3"/>
  <c r="C336" i="3"/>
  <c r="K336" i="3"/>
  <c r="I350" i="3"/>
  <c r="E350" i="3"/>
  <c r="G350" i="3"/>
  <c r="K350" i="3"/>
  <c r="F350" i="3"/>
  <c r="J350" i="3"/>
  <c r="D350" i="3"/>
  <c r="H350" i="3"/>
  <c r="C350" i="3"/>
  <c r="I371" i="3"/>
  <c r="E371" i="3"/>
  <c r="H371" i="3"/>
  <c r="D371" i="3"/>
  <c r="K371" i="3"/>
  <c r="G371" i="3"/>
  <c r="C371" i="3"/>
  <c r="J371" i="3"/>
  <c r="F371" i="3"/>
  <c r="J362" i="3"/>
  <c r="F362" i="3"/>
  <c r="I362" i="3"/>
  <c r="E362" i="3"/>
  <c r="H362" i="3"/>
  <c r="G362" i="3"/>
  <c r="D362" i="3"/>
  <c r="K362" i="3"/>
  <c r="C362" i="3"/>
  <c r="K370" i="3"/>
  <c r="G370" i="3"/>
  <c r="C370" i="3"/>
  <c r="J370" i="3"/>
  <c r="F370" i="3"/>
  <c r="I370" i="3"/>
  <c r="E370" i="3"/>
  <c r="H370" i="3"/>
  <c r="D370" i="3"/>
  <c r="E52" i="3"/>
  <c r="C52" i="3"/>
  <c r="E44" i="3"/>
  <c r="C44" i="3"/>
  <c r="E36" i="3"/>
  <c r="C36" i="3"/>
  <c r="E28" i="3"/>
  <c r="C28" i="3"/>
  <c r="E20" i="3"/>
  <c r="C20" i="3"/>
  <c r="B23" i="2"/>
  <c r="B52" i="2"/>
  <c r="I3" i="2"/>
  <c r="I8" i="2" s="1"/>
  <c r="C372" i="2"/>
  <c r="C57" i="2"/>
  <c r="C51" i="2"/>
  <c r="E43" i="2"/>
  <c r="C43" i="2"/>
  <c r="E35" i="2"/>
  <c r="C35" i="2"/>
  <c r="E27" i="2"/>
  <c r="C27" i="2"/>
  <c r="E19" i="2"/>
  <c r="C19" i="2"/>
  <c r="B56" i="2"/>
  <c r="B48" i="2"/>
  <c r="B40" i="2"/>
  <c r="B32" i="2"/>
  <c r="B24" i="2"/>
  <c r="B16" i="2"/>
  <c r="B64" i="2"/>
  <c r="B72" i="2"/>
  <c r="B80" i="2"/>
  <c r="B88" i="2"/>
  <c r="B96" i="2"/>
  <c r="B104" i="2"/>
  <c r="B112" i="2"/>
  <c r="B120" i="2"/>
  <c r="B127" i="2"/>
  <c r="B65" i="2"/>
  <c r="B73" i="2"/>
  <c r="B81" i="2"/>
  <c r="B89" i="2"/>
  <c r="B97" i="2"/>
  <c r="B105" i="2"/>
  <c r="B113" i="2"/>
  <c r="B121" i="2"/>
  <c r="B131" i="2"/>
  <c r="B139" i="2"/>
  <c r="B147" i="2"/>
  <c r="B155" i="2"/>
  <c r="B163" i="2"/>
  <c r="B171" i="2"/>
  <c r="B179" i="2"/>
  <c r="B187" i="2"/>
  <c r="B128" i="2"/>
  <c r="B136" i="2"/>
  <c r="B144" i="2"/>
  <c r="B152" i="2"/>
  <c r="B160" i="2"/>
  <c r="B168" i="2"/>
  <c r="B176" i="2"/>
  <c r="B184" i="2"/>
  <c r="B192" i="2"/>
  <c r="B200" i="2"/>
  <c r="B208" i="2"/>
  <c r="B216" i="2"/>
  <c r="B224" i="2"/>
  <c r="B232" i="2"/>
  <c r="B240" i="2"/>
  <c r="B248" i="2"/>
  <c r="B260" i="2"/>
  <c r="B201" i="2"/>
  <c r="B209" i="2"/>
  <c r="B217" i="2"/>
  <c r="B225" i="2"/>
  <c r="B233" i="2"/>
  <c r="B241" i="2"/>
  <c r="B249" i="2"/>
  <c r="B258" i="2"/>
  <c r="B261" i="2"/>
  <c r="B269" i="2"/>
  <c r="B277" i="2"/>
  <c r="B285" i="2"/>
  <c r="B293" i="2"/>
  <c r="B366" i="2"/>
  <c r="B268" i="2"/>
  <c r="B276" i="2"/>
  <c r="B284" i="2"/>
  <c r="B292" i="2"/>
  <c r="B299" i="2"/>
  <c r="B307" i="2"/>
  <c r="B315" i="2"/>
  <c r="B322" i="2"/>
  <c r="B370" i="2"/>
  <c r="B342" i="2"/>
  <c r="B300" i="2"/>
  <c r="B308" i="2"/>
  <c r="B316" i="2"/>
  <c r="B325" i="2"/>
  <c r="B343" i="2"/>
  <c r="B359" i="2"/>
  <c r="B326" i="2"/>
  <c r="B334" i="2"/>
  <c r="B344" i="2"/>
  <c r="B360" i="2"/>
  <c r="B345" i="2"/>
  <c r="B361" i="2"/>
  <c r="E49" i="2"/>
  <c r="C49" i="2"/>
  <c r="E41" i="2"/>
  <c r="C41" i="2"/>
  <c r="E33" i="2"/>
  <c r="C33" i="2"/>
  <c r="E25" i="2"/>
  <c r="C25" i="2"/>
  <c r="E17" i="2"/>
  <c r="C17" i="2"/>
  <c r="B54" i="2"/>
  <c r="B46" i="2"/>
  <c r="B38" i="2"/>
  <c r="B30" i="2"/>
  <c r="B22" i="2"/>
  <c r="B14" i="2"/>
  <c r="B66" i="2"/>
  <c r="B74" i="2"/>
  <c r="B82" i="2"/>
  <c r="B90" i="2"/>
  <c r="B98" i="2"/>
  <c r="B106" i="2"/>
  <c r="B114" i="2"/>
  <c r="B122" i="2"/>
  <c r="B59" i="2"/>
  <c r="B67" i="2"/>
  <c r="B75" i="2"/>
  <c r="B83" i="2"/>
  <c r="B91" i="2"/>
  <c r="B99" i="2"/>
  <c r="B107" i="2"/>
  <c r="B115" i="2"/>
  <c r="B123" i="2"/>
  <c r="B133" i="2"/>
  <c r="B141" i="2"/>
  <c r="B149" i="2"/>
  <c r="B157" i="2"/>
  <c r="B165" i="2"/>
  <c r="B173" i="2"/>
  <c r="B181" i="2"/>
  <c r="B189" i="2"/>
  <c r="B130" i="2"/>
  <c r="B138" i="2"/>
  <c r="B146" i="2"/>
  <c r="B154" i="2"/>
  <c r="B162" i="2"/>
  <c r="B170" i="2"/>
  <c r="B178" i="2"/>
  <c r="B186" i="2"/>
  <c r="B194" i="2"/>
  <c r="B202" i="2"/>
  <c r="B210" i="2"/>
  <c r="B218" i="2"/>
  <c r="B226" i="2"/>
  <c r="B234" i="2"/>
  <c r="B242" i="2"/>
  <c r="B250" i="2"/>
  <c r="B195" i="2"/>
  <c r="B203" i="2"/>
  <c r="B211" i="2"/>
  <c r="B219" i="2"/>
  <c r="B227" i="2"/>
  <c r="B235" i="2"/>
  <c r="B243" i="2"/>
  <c r="B251" i="2"/>
  <c r="B259" i="2"/>
  <c r="B263" i="2"/>
  <c r="B271" i="2"/>
  <c r="B279" i="2"/>
  <c r="B287" i="2"/>
  <c r="B295" i="2"/>
  <c r="B262" i="2"/>
  <c r="B270" i="2"/>
  <c r="B278" i="2"/>
  <c r="B286" i="2"/>
  <c r="B294" i="2"/>
  <c r="B301" i="2"/>
  <c r="B309" i="2"/>
  <c r="B317" i="2"/>
  <c r="B329" i="2"/>
  <c r="B323" i="2"/>
  <c r="B358" i="2"/>
  <c r="B302" i="2"/>
  <c r="B310" i="2"/>
  <c r="B318" i="2"/>
  <c r="B333" i="2"/>
  <c r="B347" i="2"/>
  <c r="B363" i="2"/>
  <c r="B328" i="2"/>
  <c r="B336" i="2"/>
  <c r="B348" i="2"/>
  <c r="B364" i="2"/>
  <c r="B349" i="2"/>
  <c r="B365" i="2"/>
  <c r="E55" i="2"/>
  <c r="C55" i="2"/>
  <c r="E39" i="2"/>
  <c r="C39" i="2"/>
  <c r="E31" i="2"/>
  <c r="C31" i="2"/>
  <c r="E15" i="2"/>
  <c r="C15" i="2"/>
  <c r="C52" i="2"/>
  <c r="E52" i="2"/>
  <c r="B44" i="2"/>
  <c r="B36" i="2"/>
  <c r="B28" i="2"/>
  <c r="B20" i="2"/>
  <c r="B60" i="2"/>
  <c r="B68" i="2"/>
  <c r="B76" i="2"/>
  <c r="B84" i="2"/>
  <c r="B92" i="2"/>
  <c r="B100" i="2"/>
  <c r="B108" i="2"/>
  <c r="B116" i="2"/>
  <c r="B124" i="2"/>
  <c r="B61" i="2"/>
  <c r="B69" i="2"/>
  <c r="B77" i="2"/>
  <c r="B85" i="2"/>
  <c r="B93" i="2"/>
  <c r="B101" i="2"/>
  <c r="B109" i="2"/>
  <c r="B117" i="2"/>
  <c r="B125" i="2"/>
  <c r="B135" i="2"/>
  <c r="B143" i="2"/>
  <c r="B151" i="2"/>
  <c r="B159" i="2"/>
  <c r="B167" i="2"/>
  <c r="B175" i="2"/>
  <c r="B183" i="2"/>
  <c r="B191" i="2"/>
  <c r="B132" i="2"/>
  <c r="B140" i="2"/>
  <c r="B148" i="2"/>
  <c r="B156" i="2"/>
  <c r="B164" i="2"/>
  <c r="B172" i="2"/>
  <c r="B180" i="2"/>
  <c r="B188" i="2"/>
  <c r="B196" i="2"/>
  <c r="B204" i="2"/>
  <c r="B212" i="2"/>
  <c r="B220" i="2"/>
  <c r="B228" i="2"/>
  <c r="B236" i="2"/>
  <c r="B244" i="2"/>
  <c r="B252" i="2"/>
  <c r="B197" i="2"/>
  <c r="B205" i="2"/>
  <c r="B213" i="2"/>
  <c r="B221" i="2"/>
  <c r="B229" i="2"/>
  <c r="B237" i="2"/>
  <c r="B245" i="2"/>
  <c r="B253" i="2"/>
  <c r="B256" i="2"/>
  <c r="B265" i="2"/>
  <c r="B273" i="2"/>
  <c r="B281" i="2"/>
  <c r="B289" i="2"/>
  <c r="B350" i="2"/>
  <c r="B264" i="2"/>
  <c r="B272" i="2"/>
  <c r="B280" i="2"/>
  <c r="B288" i="2"/>
  <c r="B335" i="2"/>
  <c r="B303" i="2"/>
  <c r="B311" i="2"/>
  <c r="B319" i="2"/>
  <c r="B337" i="2"/>
  <c r="B331" i="2"/>
  <c r="B296" i="2"/>
  <c r="B304" i="2"/>
  <c r="B312" i="2"/>
  <c r="B320" i="2"/>
  <c r="B346" i="2"/>
  <c r="B351" i="2"/>
  <c r="B367" i="2"/>
  <c r="B330" i="2"/>
  <c r="B338" i="2"/>
  <c r="B352" i="2"/>
  <c r="B368" i="2"/>
  <c r="B353" i="2"/>
  <c r="B369" i="2"/>
  <c r="E47" i="2"/>
  <c r="C47" i="2"/>
  <c r="B53" i="2"/>
  <c r="B45" i="2"/>
  <c r="B37" i="2"/>
  <c r="B29" i="2"/>
  <c r="B21" i="2"/>
  <c r="B13" i="2"/>
  <c r="B58" i="2"/>
  <c r="B50" i="2"/>
  <c r="B42" i="2"/>
  <c r="B34" i="2"/>
  <c r="B26" i="2"/>
  <c r="B18" i="2"/>
  <c r="B62" i="2"/>
  <c r="B70" i="2"/>
  <c r="B78" i="2"/>
  <c r="B86" i="2"/>
  <c r="B94" i="2"/>
  <c r="B102" i="2"/>
  <c r="B110" i="2"/>
  <c r="B118" i="2"/>
  <c r="B126" i="2"/>
  <c r="B63" i="2"/>
  <c r="B71" i="2"/>
  <c r="B79" i="2"/>
  <c r="B87" i="2"/>
  <c r="B95" i="2"/>
  <c r="B103" i="2"/>
  <c r="B111" i="2"/>
  <c r="B119" i="2"/>
  <c r="B129" i="2"/>
  <c r="B137" i="2"/>
  <c r="B145" i="2"/>
  <c r="B153" i="2"/>
  <c r="B161" i="2"/>
  <c r="B169" i="2"/>
  <c r="B177" i="2"/>
  <c r="B185" i="2"/>
  <c r="B193" i="2"/>
  <c r="B134" i="2"/>
  <c r="B142" i="2"/>
  <c r="B150" i="2"/>
  <c r="B158" i="2"/>
  <c r="B166" i="2"/>
  <c r="B174" i="2"/>
  <c r="B182" i="2"/>
  <c r="B190" i="2"/>
  <c r="B198" i="2"/>
  <c r="B206" i="2"/>
  <c r="B214" i="2"/>
  <c r="B222" i="2"/>
  <c r="B230" i="2"/>
  <c r="B238" i="2"/>
  <c r="B246" i="2"/>
  <c r="B254" i="2"/>
  <c r="B199" i="2"/>
  <c r="B207" i="2"/>
  <c r="B215" i="2"/>
  <c r="B223" i="2"/>
  <c r="B231" i="2"/>
  <c r="B239" i="2"/>
  <c r="B247" i="2"/>
  <c r="B255" i="2"/>
  <c r="B257" i="2"/>
  <c r="B267" i="2"/>
  <c r="B275" i="2"/>
  <c r="B283" i="2"/>
  <c r="B291" i="2"/>
  <c r="B327" i="2"/>
  <c r="B266" i="2"/>
  <c r="B274" i="2"/>
  <c r="B282" i="2"/>
  <c r="B290" i="2"/>
  <c r="B297" i="2"/>
  <c r="B305" i="2"/>
  <c r="B313" i="2"/>
  <c r="B321" i="2"/>
  <c r="B354" i="2"/>
  <c r="B339" i="2"/>
  <c r="B298" i="2"/>
  <c r="B306" i="2"/>
  <c r="B314" i="2"/>
  <c r="B324" i="2"/>
  <c r="B362" i="2"/>
  <c r="B355" i="2"/>
  <c r="B371" i="2"/>
  <c r="B332" i="2"/>
  <c r="B340" i="2"/>
  <c r="B356" i="2"/>
  <c r="B341" i="2"/>
  <c r="B357" i="2"/>
  <c r="I9" i="1"/>
  <c r="I8" i="1"/>
  <c r="I10" i="1"/>
  <c r="I4" i="1"/>
  <c r="B122" i="1" s="1"/>
  <c r="E23" i="2" l="1"/>
  <c r="K16" i="4"/>
  <c r="F16" i="4"/>
  <c r="C23" i="2"/>
  <c r="I13" i="3"/>
  <c r="G13" i="3"/>
  <c r="K13" i="3"/>
  <c r="E51" i="2"/>
  <c r="E57" i="2"/>
  <c r="E372" i="2"/>
  <c r="E357" i="2"/>
  <c r="C357" i="2"/>
  <c r="E274" i="2"/>
  <c r="C274" i="2"/>
  <c r="C255" i="2"/>
  <c r="E255" i="2"/>
  <c r="C223" i="2"/>
  <c r="E223" i="2"/>
  <c r="E254" i="2"/>
  <c r="C254" i="2"/>
  <c r="E222" i="2"/>
  <c r="C222" i="2"/>
  <c r="C190" i="2"/>
  <c r="E190" i="2"/>
  <c r="C158" i="2"/>
  <c r="E158" i="2"/>
  <c r="E193" i="2"/>
  <c r="C193" i="2"/>
  <c r="E161" i="2"/>
  <c r="C161" i="2"/>
  <c r="E129" i="2"/>
  <c r="C129" i="2"/>
  <c r="E95" i="2"/>
  <c r="C95" i="2"/>
  <c r="E63" i="2"/>
  <c r="C63" i="2"/>
  <c r="C102" i="2"/>
  <c r="E102" i="2"/>
  <c r="C70" i="2"/>
  <c r="E70" i="2"/>
  <c r="C34" i="2"/>
  <c r="E34" i="2"/>
  <c r="E13" i="2"/>
  <c r="D13" i="2"/>
  <c r="I13" i="2" s="1"/>
  <c r="C13" i="2"/>
  <c r="E45" i="2"/>
  <c r="C45" i="2"/>
  <c r="E353" i="2"/>
  <c r="C353" i="2"/>
  <c r="C330" i="2"/>
  <c r="E330" i="2"/>
  <c r="E320" i="2"/>
  <c r="C320" i="2"/>
  <c r="E331" i="2"/>
  <c r="C331" i="2"/>
  <c r="C303" i="2"/>
  <c r="E303" i="2"/>
  <c r="E272" i="2"/>
  <c r="C272" i="2"/>
  <c r="C281" i="2"/>
  <c r="E281" i="2"/>
  <c r="C253" i="2"/>
  <c r="E253" i="2"/>
  <c r="C221" i="2"/>
  <c r="E221" i="2"/>
  <c r="E252" i="2"/>
  <c r="C252" i="2"/>
  <c r="E220" i="2"/>
  <c r="C220" i="2"/>
  <c r="C188" i="2"/>
  <c r="E188" i="2"/>
  <c r="C156" i="2"/>
  <c r="E156" i="2"/>
  <c r="E191" i="2"/>
  <c r="C191" i="2"/>
  <c r="E159" i="2"/>
  <c r="C159" i="2"/>
  <c r="E125" i="2"/>
  <c r="C125" i="2"/>
  <c r="E93" i="2"/>
  <c r="C93" i="2"/>
  <c r="E61" i="2"/>
  <c r="C61" i="2"/>
  <c r="C100" i="2"/>
  <c r="E100" i="2"/>
  <c r="C68" i="2"/>
  <c r="E68" i="2"/>
  <c r="C36" i="2"/>
  <c r="E36" i="2"/>
  <c r="E365" i="2"/>
  <c r="C365" i="2"/>
  <c r="C336" i="2"/>
  <c r="E336" i="2"/>
  <c r="E333" i="2"/>
  <c r="C333" i="2"/>
  <c r="C358" i="2"/>
  <c r="E358" i="2"/>
  <c r="C309" i="2"/>
  <c r="E309" i="2"/>
  <c r="E278" i="2"/>
  <c r="C278" i="2"/>
  <c r="C287" i="2"/>
  <c r="E287" i="2"/>
  <c r="C259" i="2"/>
  <c r="E259" i="2"/>
  <c r="C227" i="2"/>
  <c r="E227" i="2"/>
  <c r="C195" i="2"/>
  <c r="E195" i="2"/>
  <c r="E226" i="2"/>
  <c r="C226" i="2"/>
  <c r="E194" i="2"/>
  <c r="C194" i="2"/>
  <c r="C162" i="2"/>
  <c r="E162" i="2"/>
  <c r="C130" i="2"/>
  <c r="E130" i="2"/>
  <c r="E165" i="2"/>
  <c r="C165" i="2"/>
  <c r="E133" i="2"/>
  <c r="C133" i="2"/>
  <c r="E99" i="2"/>
  <c r="C99" i="2"/>
  <c r="E67" i="2"/>
  <c r="C67" i="2"/>
  <c r="C106" i="2"/>
  <c r="E106" i="2"/>
  <c r="C74" i="2"/>
  <c r="E74" i="2"/>
  <c r="C30" i="2"/>
  <c r="E30" i="2"/>
  <c r="C344" i="2"/>
  <c r="E344" i="2"/>
  <c r="E343" i="2"/>
  <c r="C343" i="2"/>
  <c r="E300" i="2"/>
  <c r="C300" i="2"/>
  <c r="C315" i="2"/>
  <c r="E315" i="2"/>
  <c r="E284" i="2"/>
  <c r="C284" i="2"/>
  <c r="C293" i="2"/>
  <c r="E293" i="2"/>
  <c r="C261" i="2"/>
  <c r="E261" i="2"/>
  <c r="C233" i="2"/>
  <c r="E233" i="2"/>
  <c r="C201" i="2"/>
  <c r="E201" i="2"/>
  <c r="E232" i="2"/>
  <c r="C232" i="2"/>
  <c r="E200" i="2"/>
  <c r="C200" i="2"/>
  <c r="C168" i="2"/>
  <c r="E168" i="2"/>
  <c r="C136" i="2"/>
  <c r="E136" i="2"/>
  <c r="E171" i="2"/>
  <c r="C171" i="2"/>
  <c r="E139" i="2"/>
  <c r="C139" i="2"/>
  <c r="E105" i="2"/>
  <c r="C105" i="2"/>
  <c r="E73" i="2"/>
  <c r="C73" i="2"/>
  <c r="C112" i="2"/>
  <c r="E112" i="2"/>
  <c r="C80" i="2"/>
  <c r="E80" i="2"/>
  <c r="C24" i="2"/>
  <c r="E24" i="2"/>
  <c r="C56" i="2"/>
  <c r="E56" i="2"/>
  <c r="E339" i="2"/>
  <c r="C339" i="2"/>
  <c r="E341" i="2"/>
  <c r="C341" i="2"/>
  <c r="C354" i="2"/>
  <c r="E354" i="2"/>
  <c r="C297" i="2"/>
  <c r="E297" i="2"/>
  <c r="E266" i="2"/>
  <c r="C266" i="2"/>
  <c r="C275" i="2"/>
  <c r="E275" i="2"/>
  <c r="C247" i="2"/>
  <c r="E247" i="2"/>
  <c r="C215" i="2"/>
  <c r="E215" i="2"/>
  <c r="E246" i="2"/>
  <c r="C246" i="2"/>
  <c r="E214" i="2"/>
  <c r="C214" i="2"/>
  <c r="C182" i="2"/>
  <c r="E182" i="2"/>
  <c r="C150" i="2"/>
  <c r="E150" i="2"/>
  <c r="E185" i="2"/>
  <c r="C185" i="2"/>
  <c r="E153" i="2"/>
  <c r="C153" i="2"/>
  <c r="E119" i="2"/>
  <c r="C119" i="2"/>
  <c r="E87" i="2"/>
  <c r="C87" i="2"/>
  <c r="C126" i="2"/>
  <c r="E126" i="2"/>
  <c r="C94" i="2"/>
  <c r="E94" i="2"/>
  <c r="C62" i="2"/>
  <c r="E62" i="2"/>
  <c r="C42" i="2"/>
  <c r="E42" i="2"/>
  <c r="E21" i="2"/>
  <c r="C21" i="2"/>
  <c r="E53" i="2"/>
  <c r="C53" i="2"/>
  <c r="C368" i="2"/>
  <c r="E368" i="2"/>
  <c r="E367" i="2"/>
  <c r="C367" i="2"/>
  <c r="E312" i="2"/>
  <c r="C312" i="2"/>
  <c r="E337" i="2"/>
  <c r="C337" i="2"/>
  <c r="E335" i="2"/>
  <c r="C335" i="2"/>
  <c r="E264" i="2"/>
  <c r="C264" i="2"/>
  <c r="C273" i="2"/>
  <c r="E273" i="2"/>
  <c r="C245" i="2"/>
  <c r="E245" i="2"/>
  <c r="C213" i="2"/>
  <c r="E213" i="2"/>
  <c r="E244" i="2"/>
  <c r="C244" i="2"/>
  <c r="E212" i="2"/>
  <c r="C212" i="2"/>
  <c r="C180" i="2"/>
  <c r="E180" i="2"/>
  <c r="C148" i="2"/>
  <c r="E148" i="2"/>
  <c r="E183" i="2"/>
  <c r="C183" i="2"/>
  <c r="E151" i="2"/>
  <c r="C151" i="2"/>
  <c r="E117" i="2"/>
  <c r="C117" i="2"/>
  <c r="E85" i="2"/>
  <c r="C85" i="2"/>
  <c r="C124" i="2"/>
  <c r="E124" i="2"/>
  <c r="C92" i="2"/>
  <c r="E92" i="2"/>
  <c r="C60" i="2"/>
  <c r="E60" i="2"/>
  <c r="C44" i="2"/>
  <c r="E44" i="2"/>
  <c r="E349" i="2"/>
  <c r="C349" i="2"/>
  <c r="C328" i="2"/>
  <c r="E328" i="2"/>
  <c r="E318" i="2"/>
  <c r="C318" i="2"/>
  <c r="E323" i="2"/>
  <c r="C323" i="2"/>
  <c r="C301" i="2"/>
  <c r="E301" i="2"/>
  <c r="E270" i="2"/>
  <c r="C270" i="2"/>
  <c r="C279" i="2"/>
  <c r="E279" i="2"/>
  <c r="C251" i="2"/>
  <c r="E251" i="2"/>
  <c r="C219" i="2"/>
  <c r="E219" i="2"/>
  <c r="E250" i="2"/>
  <c r="C250" i="2"/>
  <c r="E218" i="2"/>
  <c r="C218" i="2"/>
  <c r="C186" i="2"/>
  <c r="E186" i="2"/>
  <c r="C154" i="2"/>
  <c r="E154" i="2"/>
  <c r="E189" i="2"/>
  <c r="C189" i="2"/>
  <c r="E157" i="2"/>
  <c r="C157" i="2"/>
  <c r="E123" i="2"/>
  <c r="C123" i="2"/>
  <c r="E91" i="2"/>
  <c r="C91" i="2"/>
  <c r="E59" i="2"/>
  <c r="C59" i="2"/>
  <c r="C98" i="2"/>
  <c r="E98" i="2"/>
  <c r="C66" i="2"/>
  <c r="E66" i="2"/>
  <c r="C38" i="2"/>
  <c r="E38" i="2"/>
  <c r="E361" i="2"/>
  <c r="C361" i="2"/>
  <c r="C334" i="2"/>
  <c r="E334" i="2"/>
  <c r="E325" i="2"/>
  <c r="C325" i="2"/>
  <c r="C342" i="2"/>
  <c r="E342" i="2"/>
  <c r="C307" i="2"/>
  <c r="E307" i="2"/>
  <c r="E276" i="2"/>
  <c r="C276" i="2"/>
  <c r="C285" i="2"/>
  <c r="E285" i="2"/>
  <c r="E258" i="2"/>
  <c r="C258" i="2"/>
  <c r="C225" i="2"/>
  <c r="E225" i="2"/>
  <c r="E260" i="2"/>
  <c r="C260" i="2"/>
  <c r="E224" i="2"/>
  <c r="C224" i="2"/>
  <c r="C192" i="2"/>
  <c r="E192" i="2"/>
  <c r="C160" i="2"/>
  <c r="E160" i="2"/>
  <c r="C128" i="2"/>
  <c r="E128" i="2"/>
  <c r="E163" i="2"/>
  <c r="C163" i="2"/>
  <c r="E131" i="2"/>
  <c r="C131" i="2"/>
  <c r="E97" i="2"/>
  <c r="C97" i="2"/>
  <c r="E65" i="2"/>
  <c r="C65" i="2"/>
  <c r="C104" i="2"/>
  <c r="E104" i="2"/>
  <c r="C72" i="2"/>
  <c r="E72" i="2"/>
  <c r="C32" i="2"/>
  <c r="E32" i="2"/>
  <c r="C324" i="2"/>
  <c r="E324" i="2"/>
  <c r="C283" i="2"/>
  <c r="E283" i="2"/>
  <c r="E314" i="2"/>
  <c r="C314" i="2"/>
  <c r="E355" i="2"/>
  <c r="C355" i="2"/>
  <c r="C321" i="2"/>
  <c r="E321" i="2"/>
  <c r="E327" i="2"/>
  <c r="C327" i="2"/>
  <c r="C267" i="2"/>
  <c r="E267" i="2"/>
  <c r="C239" i="2"/>
  <c r="E239" i="2"/>
  <c r="C207" i="2"/>
  <c r="E207" i="2"/>
  <c r="E238" i="2"/>
  <c r="C238" i="2"/>
  <c r="E206" i="2"/>
  <c r="C206" i="2"/>
  <c r="C174" i="2"/>
  <c r="E174" i="2"/>
  <c r="C142" i="2"/>
  <c r="E142" i="2"/>
  <c r="E177" i="2"/>
  <c r="C177" i="2"/>
  <c r="E145" i="2"/>
  <c r="C145" i="2"/>
  <c r="E111" i="2"/>
  <c r="C111" i="2"/>
  <c r="E79" i="2"/>
  <c r="C79" i="2"/>
  <c r="C118" i="2"/>
  <c r="E118" i="2"/>
  <c r="C86" i="2"/>
  <c r="E86" i="2"/>
  <c r="C18" i="2"/>
  <c r="E18" i="2"/>
  <c r="C50" i="2"/>
  <c r="E50" i="2"/>
  <c r="E29" i="2"/>
  <c r="C29" i="2"/>
  <c r="C352" i="2"/>
  <c r="E352" i="2"/>
  <c r="E351" i="2"/>
  <c r="C351" i="2"/>
  <c r="E304" i="2"/>
  <c r="C304" i="2"/>
  <c r="C319" i="2"/>
  <c r="E319" i="2"/>
  <c r="E288" i="2"/>
  <c r="C288" i="2"/>
  <c r="C350" i="2"/>
  <c r="E350" i="2"/>
  <c r="C265" i="2"/>
  <c r="E265" i="2"/>
  <c r="C237" i="2"/>
  <c r="E237" i="2"/>
  <c r="C205" i="2"/>
  <c r="E205" i="2"/>
  <c r="E236" i="2"/>
  <c r="C236" i="2"/>
  <c r="E204" i="2"/>
  <c r="C204" i="2"/>
  <c r="C172" i="2"/>
  <c r="E172" i="2"/>
  <c r="C140" i="2"/>
  <c r="E140" i="2"/>
  <c r="E175" i="2"/>
  <c r="C175" i="2"/>
  <c r="E143" i="2"/>
  <c r="C143" i="2"/>
  <c r="E109" i="2"/>
  <c r="C109" i="2"/>
  <c r="E77" i="2"/>
  <c r="C77" i="2"/>
  <c r="C116" i="2"/>
  <c r="E116" i="2"/>
  <c r="C84" i="2"/>
  <c r="E84" i="2"/>
  <c r="C20" i="2"/>
  <c r="E20" i="2"/>
  <c r="C364" i="2"/>
  <c r="E364" i="2"/>
  <c r="E363" i="2"/>
  <c r="C363" i="2"/>
  <c r="E310" i="2"/>
  <c r="C310" i="2"/>
  <c r="E329" i="2"/>
  <c r="C329" i="2"/>
  <c r="E294" i="2"/>
  <c r="C294" i="2"/>
  <c r="E262" i="2"/>
  <c r="C262" i="2"/>
  <c r="C271" i="2"/>
  <c r="E271" i="2"/>
  <c r="C243" i="2"/>
  <c r="E243" i="2"/>
  <c r="C211" i="2"/>
  <c r="E211" i="2"/>
  <c r="E242" i="2"/>
  <c r="C242" i="2"/>
  <c r="E210" i="2"/>
  <c r="C210" i="2"/>
  <c r="C178" i="2"/>
  <c r="E178" i="2"/>
  <c r="C146" i="2"/>
  <c r="E146" i="2"/>
  <c r="E181" i="2"/>
  <c r="C181" i="2"/>
  <c r="E149" i="2"/>
  <c r="C149" i="2"/>
  <c r="E115" i="2"/>
  <c r="C115" i="2"/>
  <c r="E83" i="2"/>
  <c r="C83" i="2"/>
  <c r="C122" i="2"/>
  <c r="E122" i="2"/>
  <c r="C90" i="2"/>
  <c r="E90" i="2"/>
  <c r="C14" i="2"/>
  <c r="E14" i="2"/>
  <c r="C46" i="2"/>
  <c r="E46" i="2"/>
  <c r="E345" i="2"/>
  <c r="C345" i="2"/>
  <c r="C326" i="2"/>
  <c r="E326" i="2"/>
  <c r="E316" i="2"/>
  <c r="C316" i="2"/>
  <c r="C370" i="2"/>
  <c r="E370" i="2"/>
  <c r="C299" i="2"/>
  <c r="E299" i="2"/>
  <c r="E268" i="2"/>
  <c r="C268" i="2"/>
  <c r="C277" i="2"/>
  <c r="E277" i="2"/>
  <c r="C249" i="2"/>
  <c r="E249" i="2"/>
  <c r="C217" i="2"/>
  <c r="E217" i="2"/>
  <c r="E248" i="2"/>
  <c r="C248" i="2"/>
  <c r="E216" i="2"/>
  <c r="C216" i="2"/>
  <c r="C184" i="2"/>
  <c r="E184" i="2"/>
  <c r="C152" i="2"/>
  <c r="E152" i="2"/>
  <c r="E187" i="2"/>
  <c r="C187" i="2"/>
  <c r="E155" i="2"/>
  <c r="C155" i="2"/>
  <c r="E121" i="2"/>
  <c r="C121" i="2"/>
  <c r="E89" i="2"/>
  <c r="C89" i="2"/>
  <c r="E127" i="2"/>
  <c r="C127" i="2"/>
  <c r="C96" i="2"/>
  <c r="E96" i="2"/>
  <c r="C64" i="2"/>
  <c r="E64" i="2"/>
  <c r="C40" i="2"/>
  <c r="E40" i="2"/>
  <c r="C332" i="2"/>
  <c r="E332" i="2"/>
  <c r="C305" i="2"/>
  <c r="E305" i="2"/>
  <c r="E371" i="2"/>
  <c r="C371" i="2"/>
  <c r="C356" i="2"/>
  <c r="E356" i="2"/>
  <c r="E306" i="2"/>
  <c r="C306" i="2"/>
  <c r="E290" i="2"/>
  <c r="C290" i="2"/>
  <c r="C340" i="2"/>
  <c r="E340" i="2"/>
  <c r="C362" i="2"/>
  <c r="E362" i="2"/>
  <c r="E298" i="2"/>
  <c r="C298" i="2"/>
  <c r="C313" i="2"/>
  <c r="E313" i="2"/>
  <c r="E282" i="2"/>
  <c r="C282" i="2"/>
  <c r="C291" i="2"/>
  <c r="E291" i="2"/>
  <c r="C257" i="2"/>
  <c r="E257" i="2"/>
  <c r="C231" i="2"/>
  <c r="E231" i="2"/>
  <c r="C199" i="2"/>
  <c r="E199" i="2"/>
  <c r="E230" i="2"/>
  <c r="C230" i="2"/>
  <c r="E198" i="2"/>
  <c r="C198" i="2"/>
  <c r="C166" i="2"/>
  <c r="E166" i="2"/>
  <c r="C134" i="2"/>
  <c r="E134" i="2"/>
  <c r="E169" i="2"/>
  <c r="C169" i="2"/>
  <c r="E137" i="2"/>
  <c r="C137" i="2"/>
  <c r="E103" i="2"/>
  <c r="C103" i="2"/>
  <c r="E71" i="2"/>
  <c r="C71" i="2"/>
  <c r="C110" i="2"/>
  <c r="E110" i="2"/>
  <c r="C78" i="2"/>
  <c r="E78" i="2"/>
  <c r="C26" i="2"/>
  <c r="E26" i="2"/>
  <c r="C58" i="2"/>
  <c r="E58" i="2"/>
  <c r="E37" i="2"/>
  <c r="C37" i="2"/>
  <c r="E369" i="2"/>
  <c r="C369" i="2"/>
  <c r="C338" i="2"/>
  <c r="E338" i="2"/>
  <c r="C346" i="2"/>
  <c r="E346" i="2"/>
  <c r="C296" i="2"/>
  <c r="E296" i="2"/>
  <c r="C311" i="2"/>
  <c r="E311" i="2"/>
  <c r="E280" i="2"/>
  <c r="C280" i="2"/>
  <c r="C289" i="2"/>
  <c r="E289" i="2"/>
  <c r="E256" i="2"/>
  <c r="C256" i="2"/>
  <c r="C229" i="2"/>
  <c r="E229" i="2"/>
  <c r="C197" i="2"/>
  <c r="E197" i="2"/>
  <c r="E228" i="2"/>
  <c r="C228" i="2"/>
  <c r="E196" i="2"/>
  <c r="C196" i="2"/>
  <c r="C164" i="2"/>
  <c r="E164" i="2"/>
  <c r="C132" i="2"/>
  <c r="E132" i="2"/>
  <c r="E167" i="2"/>
  <c r="C167" i="2"/>
  <c r="E135" i="2"/>
  <c r="C135" i="2"/>
  <c r="E101" i="2"/>
  <c r="C101" i="2"/>
  <c r="E69" i="2"/>
  <c r="C69" i="2"/>
  <c r="C108" i="2"/>
  <c r="E108" i="2"/>
  <c r="C76" i="2"/>
  <c r="E76" i="2"/>
  <c r="C28" i="2"/>
  <c r="E28" i="2"/>
  <c r="C348" i="2"/>
  <c r="E348" i="2"/>
  <c r="E347" i="2"/>
  <c r="C347" i="2"/>
  <c r="E302" i="2"/>
  <c r="C302" i="2"/>
  <c r="C317" i="2"/>
  <c r="E317" i="2"/>
  <c r="E286" i="2"/>
  <c r="C286" i="2"/>
  <c r="C295" i="2"/>
  <c r="E295" i="2"/>
  <c r="C263" i="2"/>
  <c r="E263" i="2"/>
  <c r="C235" i="2"/>
  <c r="E235" i="2"/>
  <c r="C203" i="2"/>
  <c r="E203" i="2"/>
  <c r="E234" i="2"/>
  <c r="C234" i="2"/>
  <c r="E202" i="2"/>
  <c r="C202" i="2"/>
  <c r="C170" i="2"/>
  <c r="E170" i="2"/>
  <c r="C138" i="2"/>
  <c r="E138" i="2"/>
  <c r="E173" i="2"/>
  <c r="C173" i="2"/>
  <c r="E141" i="2"/>
  <c r="C141" i="2"/>
  <c r="E107" i="2"/>
  <c r="C107" i="2"/>
  <c r="E75" i="2"/>
  <c r="C75" i="2"/>
  <c r="C114" i="2"/>
  <c r="E114" i="2"/>
  <c r="C82" i="2"/>
  <c r="E82" i="2"/>
  <c r="C22" i="2"/>
  <c r="E22" i="2"/>
  <c r="C54" i="2"/>
  <c r="E54" i="2"/>
  <c r="C360" i="2"/>
  <c r="E360" i="2"/>
  <c r="E359" i="2"/>
  <c r="C359" i="2"/>
  <c r="E308" i="2"/>
  <c r="C308" i="2"/>
  <c r="C322" i="2"/>
  <c r="E322" i="2"/>
  <c r="E292" i="2"/>
  <c r="C292" i="2"/>
  <c r="C366" i="2"/>
  <c r="E366" i="2"/>
  <c r="C269" i="2"/>
  <c r="E269" i="2"/>
  <c r="C241" i="2"/>
  <c r="E241" i="2"/>
  <c r="C209" i="2"/>
  <c r="E209" i="2"/>
  <c r="E240" i="2"/>
  <c r="C240" i="2"/>
  <c r="E208" i="2"/>
  <c r="C208" i="2"/>
  <c r="C176" i="2"/>
  <c r="E176" i="2"/>
  <c r="C144" i="2"/>
  <c r="E144" i="2"/>
  <c r="E179" i="2"/>
  <c r="C179" i="2"/>
  <c r="E147" i="2"/>
  <c r="C147" i="2"/>
  <c r="E113" i="2"/>
  <c r="C113" i="2"/>
  <c r="E81" i="2"/>
  <c r="C81" i="2"/>
  <c r="C120" i="2"/>
  <c r="E120" i="2"/>
  <c r="C88" i="2"/>
  <c r="E88" i="2"/>
  <c r="C16" i="2"/>
  <c r="E16" i="2"/>
  <c r="C48" i="2"/>
  <c r="E48" i="2"/>
  <c r="I3" i="1"/>
  <c r="I11" i="1" s="1"/>
  <c r="C122" i="1"/>
  <c r="B17" i="1"/>
  <c r="B19" i="1"/>
  <c r="B21" i="1"/>
  <c r="B23" i="1"/>
  <c r="B25" i="1"/>
  <c r="B27" i="1"/>
  <c r="B29" i="1"/>
  <c r="B31" i="1"/>
  <c r="B33" i="1"/>
  <c r="B35" i="1"/>
  <c r="B37" i="1"/>
  <c r="B39" i="1"/>
  <c r="B41" i="1"/>
  <c r="B43" i="1"/>
  <c r="B45" i="1"/>
  <c r="B47" i="1"/>
  <c r="B49" i="1"/>
  <c r="B51" i="1"/>
  <c r="B53" i="1"/>
  <c r="B55" i="1"/>
  <c r="B57" i="1"/>
  <c r="B59" i="1"/>
  <c r="B61" i="1"/>
  <c r="B63" i="1"/>
  <c r="B65" i="1"/>
  <c r="B67" i="1"/>
  <c r="B69" i="1"/>
  <c r="B71" i="1"/>
  <c r="B73" i="1"/>
  <c r="B81" i="1"/>
  <c r="B82" i="1"/>
  <c r="B89" i="1"/>
  <c r="B90" i="1"/>
  <c r="B96" i="1"/>
  <c r="B100" i="1"/>
  <c r="B104" i="1"/>
  <c r="B108" i="1"/>
  <c r="B112" i="1"/>
  <c r="B116" i="1"/>
  <c r="B120" i="1"/>
  <c r="B128" i="1"/>
  <c r="B79" i="1"/>
  <c r="B80" i="1"/>
  <c r="B87" i="1"/>
  <c r="B88" i="1"/>
  <c r="B95" i="1"/>
  <c r="B375" i="1"/>
  <c r="B372" i="1"/>
  <c r="B368" i="1"/>
  <c r="B364" i="1"/>
  <c r="B360" i="1"/>
  <c r="B356" i="1"/>
  <c r="B352" i="1"/>
  <c r="B348" i="1"/>
  <c r="B344" i="1"/>
  <c r="B371" i="1"/>
  <c r="B367" i="1"/>
  <c r="B363" i="1"/>
  <c r="B359" i="1"/>
  <c r="B355" i="1"/>
  <c r="B351" i="1"/>
  <c r="B347" i="1"/>
  <c r="B343" i="1"/>
  <c r="B341" i="1"/>
  <c r="B339" i="1"/>
  <c r="B337" i="1"/>
  <c r="B335" i="1"/>
  <c r="B333" i="1"/>
  <c r="B331" i="1"/>
  <c r="B329" i="1"/>
  <c r="B374" i="1"/>
  <c r="B370" i="1"/>
  <c r="B366" i="1"/>
  <c r="B362" i="1"/>
  <c r="B358" i="1"/>
  <c r="B354" i="1"/>
  <c r="B350" i="1"/>
  <c r="B346" i="1"/>
  <c r="B365" i="1"/>
  <c r="B349" i="1"/>
  <c r="B336" i="1"/>
  <c r="B328" i="1"/>
  <c r="B327" i="1"/>
  <c r="B361" i="1"/>
  <c r="B345" i="1"/>
  <c r="B342" i="1"/>
  <c r="B334" i="1"/>
  <c r="B326" i="1"/>
  <c r="B323" i="1"/>
  <c r="B321" i="1"/>
  <c r="B319" i="1"/>
  <c r="B317" i="1"/>
  <c r="B315" i="1"/>
  <c r="B313" i="1"/>
  <c r="B311" i="1"/>
  <c r="B309" i="1"/>
  <c r="B307" i="1"/>
  <c r="B305" i="1"/>
  <c r="B303" i="1"/>
  <c r="B301" i="1"/>
  <c r="B373" i="1"/>
  <c r="B357" i="1"/>
  <c r="B340" i="1"/>
  <c r="B332" i="1"/>
  <c r="B325" i="1"/>
  <c r="B338" i="1"/>
  <c r="B324" i="1"/>
  <c r="B316" i="1"/>
  <c r="B308" i="1"/>
  <c r="B300" i="1"/>
  <c r="B296" i="1"/>
  <c r="B369" i="1"/>
  <c r="B330" i="1"/>
  <c r="B322" i="1"/>
  <c r="B314" i="1"/>
  <c r="B306" i="1"/>
  <c r="B299" i="1"/>
  <c r="B295" i="1"/>
  <c r="B292" i="1"/>
  <c r="B291" i="1"/>
  <c r="B289" i="1"/>
  <c r="B287" i="1"/>
  <c r="B285" i="1"/>
  <c r="B283" i="1"/>
  <c r="B281" i="1"/>
  <c r="B279" i="1"/>
  <c r="B277" i="1"/>
  <c r="B275" i="1"/>
  <c r="B273" i="1"/>
  <c r="B271" i="1"/>
  <c r="B269" i="1"/>
  <c r="B267" i="1"/>
  <c r="B265" i="1"/>
  <c r="B263" i="1"/>
  <c r="B261" i="1"/>
  <c r="B259" i="1"/>
  <c r="B257" i="1"/>
  <c r="B255" i="1"/>
  <c r="B253" i="1"/>
  <c r="B353" i="1"/>
  <c r="B320" i="1"/>
  <c r="B312" i="1"/>
  <c r="B304" i="1"/>
  <c r="B298" i="1"/>
  <c r="B294" i="1"/>
  <c r="B297" i="1"/>
  <c r="B288" i="1"/>
  <c r="B280" i="1"/>
  <c r="B272" i="1"/>
  <c r="B264" i="1"/>
  <c r="B256" i="1"/>
  <c r="B251" i="1"/>
  <c r="B247" i="1"/>
  <c r="B243" i="1"/>
  <c r="B239" i="1"/>
  <c r="B235" i="1"/>
  <c r="B233" i="1"/>
  <c r="B231" i="1"/>
  <c r="B229" i="1"/>
  <c r="B227" i="1"/>
  <c r="B225" i="1"/>
  <c r="B318" i="1"/>
  <c r="B293" i="1"/>
  <c r="B286" i="1"/>
  <c r="B278" i="1"/>
  <c r="B270" i="1"/>
  <c r="B262" i="1"/>
  <c r="B254" i="1"/>
  <c r="B250" i="1"/>
  <c r="B246" i="1"/>
  <c r="B242" i="1"/>
  <c r="B238" i="1"/>
  <c r="B310" i="1"/>
  <c r="B284" i="1"/>
  <c r="B276" i="1"/>
  <c r="B268" i="1"/>
  <c r="B260" i="1"/>
  <c r="B249" i="1"/>
  <c r="B245" i="1"/>
  <c r="B241" i="1"/>
  <c r="B237" i="1"/>
  <c r="B236" i="1"/>
  <c r="B234" i="1"/>
  <c r="B232" i="1"/>
  <c r="B230" i="1"/>
  <c r="B228" i="1"/>
  <c r="B226" i="1"/>
  <c r="B302" i="1"/>
  <c r="B290" i="1"/>
  <c r="B282" i="1"/>
  <c r="B274" i="1"/>
  <c r="B266" i="1"/>
  <c r="B258" i="1"/>
  <c r="B252" i="1"/>
  <c r="B248" i="1"/>
  <c r="B244" i="1"/>
  <c r="B240" i="1"/>
  <c r="B223" i="1"/>
  <c r="B221" i="1"/>
  <c r="B219" i="1"/>
  <c r="B217" i="1"/>
  <c r="B215" i="1"/>
  <c r="B213" i="1"/>
  <c r="B211" i="1"/>
  <c r="B209" i="1"/>
  <c r="B207" i="1"/>
  <c r="B205" i="1"/>
  <c r="B203" i="1"/>
  <c r="B201" i="1"/>
  <c r="B199" i="1"/>
  <c r="B197" i="1"/>
  <c r="B195" i="1"/>
  <c r="B193" i="1"/>
  <c r="B191" i="1"/>
  <c r="B189" i="1"/>
  <c r="B187" i="1"/>
  <c r="B185" i="1"/>
  <c r="B183" i="1"/>
  <c r="B181" i="1"/>
  <c r="B179" i="1"/>
  <c r="B177" i="1"/>
  <c r="B175" i="1"/>
  <c r="B173" i="1"/>
  <c r="B171" i="1"/>
  <c r="B224" i="1"/>
  <c r="B222" i="1"/>
  <c r="B220" i="1"/>
  <c r="B218" i="1"/>
  <c r="B216" i="1"/>
  <c r="B214" i="1"/>
  <c r="B212" i="1"/>
  <c r="B210" i="1"/>
  <c r="B208" i="1"/>
  <c r="B206" i="1"/>
  <c r="B204" i="1"/>
  <c r="B202" i="1"/>
  <c r="B200" i="1"/>
  <c r="B198" i="1"/>
  <c r="B196" i="1"/>
  <c r="B194" i="1"/>
  <c r="B192" i="1"/>
  <c r="B190" i="1"/>
  <c r="B188" i="1"/>
  <c r="B186" i="1"/>
  <c r="B184" i="1"/>
  <c r="B182" i="1"/>
  <c r="B180" i="1"/>
  <c r="B178" i="1"/>
  <c r="B176" i="1"/>
  <c r="B174" i="1"/>
  <c r="B172" i="1"/>
  <c r="B167" i="1"/>
  <c r="B163" i="1"/>
  <c r="B159" i="1"/>
  <c r="B156" i="1"/>
  <c r="B154" i="1"/>
  <c r="B152" i="1"/>
  <c r="B150" i="1"/>
  <c r="B148" i="1"/>
  <c r="B146" i="1"/>
  <c r="B144" i="1"/>
  <c r="B142" i="1"/>
  <c r="B140" i="1"/>
  <c r="B138" i="1"/>
  <c r="B136" i="1"/>
  <c r="B134" i="1"/>
  <c r="B132" i="1"/>
  <c r="B130" i="1"/>
  <c r="B170" i="1"/>
  <c r="B166" i="1"/>
  <c r="B162" i="1"/>
  <c r="B158" i="1"/>
  <c r="B169" i="1"/>
  <c r="B165" i="1"/>
  <c r="B161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27" i="1"/>
  <c r="B125" i="1"/>
  <c r="B123" i="1"/>
  <c r="B121" i="1"/>
  <c r="B119" i="1"/>
  <c r="B117" i="1"/>
  <c r="B115" i="1"/>
  <c r="B113" i="1"/>
  <c r="B111" i="1"/>
  <c r="B109" i="1"/>
  <c r="B107" i="1"/>
  <c r="B105" i="1"/>
  <c r="B103" i="1"/>
  <c r="B101" i="1"/>
  <c r="B99" i="1"/>
  <c r="B97" i="1"/>
  <c r="B168" i="1"/>
  <c r="B164" i="1"/>
  <c r="B160" i="1"/>
  <c r="B16" i="1"/>
  <c r="B18" i="1"/>
  <c r="B20" i="1"/>
  <c r="B22" i="1"/>
  <c r="B24" i="1"/>
  <c r="B26" i="1"/>
  <c r="B28" i="1"/>
  <c r="B30" i="1"/>
  <c r="B32" i="1"/>
  <c r="B34" i="1"/>
  <c r="B36" i="1"/>
  <c r="B38" i="1"/>
  <c r="B40" i="1"/>
  <c r="B42" i="1"/>
  <c r="B44" i="1"/>
  <c r="B46" i="1"/>
  <c r="B48" i="1"/>
  <c r="B50" i="1"/>
  <c r="B52" i="1"/>
  <c r="B54" i="1"/>
  <c r="B56" i="1"/>
  <c r="B58" i="1"/>
  <c r="B60" i="1"/>
  <c r="B62" i="1"/>
  <c r="B64" i="1"/>
  <c r="B66" i="1"/>
  <c r="B68" i="1"/>
  <c r="B70" i="1"/>
  <c r="B72" i="1"/>
  <c r="B74" i="1"/>
  <c r="B77" i="1"/>
  <c r="B78" i="1"/>
  <c r="B85" i="1"/>
  <c r="B86" i="1"/>
  <c r="B93" i="1"/>
  <c r="B94" i="1"/>
  <c r="B98" i="1"/>
  <c r="B102" i="1"/>
  <c r="B106" i="1"/>
  <c r="B110" i="1"/>
  <c r="B114" i="1"/>
  <c r="B118" i="1"/>
  <c r="B124" i="1"/>
  <c r="B75" i="1"/>
  <c r="B76" i="1"/>
  <c r="B83" i="1"/>
  <c r="B84" i="1"/>
  <c r="B91" i="1"/>
  <c r="B92" i="1"/>
  <c r="B126" i="1"/>
  <c r="G16" i="4" l="1"/>
  <c r="H16" i="4" s="1"/>
  <c r="J16" i="4" s="1"/>
  <c r="H13" i="3"/>
  <c r="J13" i="3" s="1"/>
  <c r="D14" i="3"/>
  <c r="I14" i="3" s="1"/>
  <c r="K13" i="2"/>
  <c r="F13" i="2"/>
  <c r="G13" i="2" s="1"/>
  <c r="H13" i="2" s="1"/>
  <c r="J13" i="2" s="1"/>
  <c r="E122" i="1"/>
  <c r="E75" i="1"/>
  <c r="C75" i="1"/>
  <c r="C78" i="1"/>
  <c r="E78" i="1"/>
  <c r="C54" i="1"/>
  <c r="E54" i="1"/>
  <c r="C30" i="1"/>
  <c r="E30" i="1"/>
  <c r="E107" i="1"/>
  <c r="C107" i="1"/>
  <c r="C123" i="1"/>
  <c r="E123" i="1"/>
  <c r="C147" i="1"/>
  <c r="E147" i="1"/>
  <c r="C170" i="1"/>
  <c r="E170" i="1"/>
  <c r="E152" i="1"/>
  <c r="C152" i="1"/>
  <c r="C184" i="1"/>
  <c r="E184" i="1"/>
  <c r="C208" i="1"/>
  <c r="E208" i="1"/>
  <c r="E177" i="1"/>
  <c r="C177" i="1"/>
  <c r="E201" i="1"/>
  <c r="C201" i="1"/>
  <c r="E240" i="1"/>
  <c r="C240" i="1"/>
  <c r="C230" i="1"/>
  <c r="E230" i="1"/>
  <c r="E310" i="1"/>
  <c r="C310" i="1"/>
  <c r="E225" i="1"/>
  <c r="C225" i="1"/>
  <c r="E272" i="1"/>
  <c r="C272" i="1"/>
  <c r="C257" i="1"/>
  <c r="E257" i="1"/>
  <c r="C281" i="1"/>
  <c r="E281" i="1"/>
  <c r="E330" i="1"/>
  <c r="C330" i="1"/>
  <c r="C307" i="1"/>
  <c r="E307" i="1"/>
  <c r="C345" i="1"/>
  <c r="E345" i="1"/>
  <c r="E366" i="1"/>
  <c r="C366" i="1"/>
  <c r="C351" i="1"/>
  <c r="E351" i="1"/>
  <c r="E368" i="1"/>
  <c r="C368" i="1"/>
  <c r="C108" i="1"/>
  <c r="E108" i="1"/>
  <c r="E65" i="1"/>
  <c r="C65" i="1"/>
  <c r="E41" i="1"/>
  <c r="C41" i="1"/>
  <c r="C106" i="1"/>
  <c r="E106" i="1"/>
  <c r="C68" i="1"/>
  <c r="E68" i="1"/>
  <c r="E126" i="1"/>
  <c r="C126" i="1"/>
  <c r="E83" i="1"/>
  <c r="C83" i="1"/>
  <c r="C118" i="1"/>
  <c r="E118" i="1"/>
  <c r="C102" i="1"/>
  <c r="E102" i="1"/>
  <c r="C86" i="1"/>
  <c r="E86" i="1"/>
  <c r="C74" i="1"/>
  <c r="E74" i="1"/>
  <c r="C66" i="1"/>
  <c r="E66" i="1"/>
  <c r="C58" i="1"/>
  <c r="E58" i="1"/>
  <c r="C50" i="1"/>
  <c r="E50" i="1"/>
  <c r="C42" i="1"/>
  <c r="E42" i="1"/>
  <c r="C34" i="1"/>
  <c r="E34" i="1"/>
  <c r="C26" i="1"/>
  <c r="E26" i="1"/>
  <c r="C18" i="1"/>
  <c r="E18" i="1"/>
  <c r="C168" i="1"/>
  <c r="E168" i="1"/>
  <c r="E103" i="1"/>
  <c r="C103" i="1"/>
  <c r="E111" i="1"/>
  <c r="C111" i="1"/>
  <c r="E119" i="1"/>
  <c r="C119" i="1"/>
  <c r="C127" i="1"/>
  <c r="E127" i="1"/>
  <c r="C135" i="1"/>
  <c r="E135" i="1"/>
  <c r="C143" i="1"/>
  <c r="E143" i="1"/>
  <c r="C151" i="1"/>
  <c r="E151" i="1"/>
  <c r="E161" i="1"/>
  <c r="C161" i="1"/>
  <c r="C162" i="1"/>
  <c r="E162" i="1"/>
  <c r="E132" i="1"/>
  <c r="C132" i="1"/>
  <c r="E140" i="1"/>
  <c r="C140" i="1"/>
  <c r="E148" i="1"/>
  <c r="C148" i="1"/>
  <c r="E156" i="1"/>
  <c r="C156" i="1"/>
  <c r="C172" i="1"/>
  <c r="E172" i="1"/>
  <c r="C180" i="1"/>
  <c r="E180" i="1"/>
  <c r="C188" i="1"/>
  <c r="E188" i="1"/>
  <c r="C196" i="1"/>
  <c r="E196" i="1"/>
  <c r="C204" i="1"/>
  <c r="E204" i="1"/>
  <c r="C212" i="1"/>
  <c r="E212" i="1"/>
  <c r="C220" i="1"/>
  <c r="E220" i="1"/>
  <c r="E173" i="1"/>
  <c r="C173" i="1"/>
  <c r="E181" i="1"/>
  <c r="C181" i="1"/>
  <c r="E189" i="1"/>
  <c r="C189" i="1"/>
  <c r="E197" i="1"/>
  <c r="C197" i="1"/>
  <c r="E205" i="1"/>
  <c r="C205" i="1"/>
  <c r="E213" i="1"/>
  <c r="C213" i="1"/>
  <c r="E221" i="1"/>
  <c r="C221" i="1"/>
  <c r="E248" i="1"/>
  <c r="C248" i="1"/>
  <c r="E274" i="1"/>
  <c r="C274" i="1"/>
  <c r="C226" i="1"/>
  <c r="E226" i="1"/>
  <c r="C234" i="1"/>
  <c r="E234" i="1"/>
  <c r="C245" i="1"/>
  <c r="E245" i="1"/>
  <c r="E276" i="1"/>
  <c r="C276" i="1"/>
  <c r="E242" i="1"/>
  <c r="C242" i="1"/>
  <c r="E262" i="1"/>
  <c r="C262" i="1"/>
  <c r="C293" i="1"/>
  <c r="E293" i="1"/>
  <c r="E229" i="1"/>
  <c r="C229" i="1"/>
  <c r="C239" i="1"/>
  <c r="E239" i="1"/>
  <c r="E256" i="1"/>
  <c r="C256" i="1"/>
  <c r="E288" i="1"/>
  <c r="C288" i="1"/>
  <c r="E304" i="1"/>
  <c r="C304" i="1"/>
  <c r="C253" i="1"/>
  <c r="E253" i="1"/>
  <c r="C261" i="1"/>
  <c r="E261" i="1"/>
  <c r="C269" i="1"/>
  <c r="E269" i="1"/>
  <c r="C277" i="1"/>
  <c r="E277" i="1"/>
  <c r="C285" i="1"/>
  <c r="E285" i="1"/>
  <c r="E292" i="1"/>
  <c r="C292" i="1"/>
  <c r="E314" i="1"/>
  <c r="C314" i="1"/>
  <c r="E296" i="1"/>
  <c r="C296" i="1"/>
  <c r="E324" i="1"/>
  <c r="C324" i="1"/>
  <c r="E340" i="1"/>
  <c r="C340" i="1"/>
  <c r="C303" i="1"/>
  <c r="E303" i="1"/>
  <c r="C311" i="1"/>
  <c r="E311" i="1"/>
  <c r="C319" i="1"/>
  <c r="E319" i="1"/>
  <c r="E334" i="1"/>
  <c r="C334" i="1"/>
  <c r="C327" i="1"/>
  <c r="E327" i="1"/>
  <c r="C365" i="1"/>
  <c r="E365" i="1"/>
  <c r="E358" i="1"/>
  <c r="C358" i="1"/>
  <c r="E374" i="1"/>
  <c r="C374" i="1"/>
  <c r="C335" i="1"/>
  <c r="E335" i="1"/>
  <c r="C343" i="1"/>
  <c r="E343" i="1"/>
  <c r="C359" i="1"/>
  <c r="E359" i="1"/>
  <c r="E344" i="1"/>
  <c r="C344" i="1"/>
  <c r="E360" i="1"/>
  <c r="C360" i="1"/>
  <c r="C375" i="1"/>
  <c r="E375" i="1"/>
  <c r="C80" i="1"/>
  <c r="E80" i="1"/>
  <c r="C116" i="1"/>
  <c r="E116" i="1"/>
  <c r="C100" i="1"/>
  <c r="E100" i="1"/>
  <c r="C82" i="1"/>
  <c r="E82" i="1"/>
  <c r="E69" i="1"/>
  <c r="C69" i="1"/>
  <c r="E61" i="1"/>
  <c r="C61" i="1"/>
  <c r="E53" i="1"/>
  <c r="C53" i="1"/>
  <c r="E45" i="1"/>
  <c r="C45" i="1"/>
  <c r="E37" i="1"/>
  <c r="C37" i="1"/>
  <c r="E29" i="1"/>
  <c r="C29" i="1"/>
  <c r="E21" i="1"/>
  <c r="C21" i="1"/>
  <c r="E91" i="1"/>
  <c r="C91" i="1"/>
  <c r="C94" i="1"/>
  <c r="E94" i="1"/>
  <c r="C62" i="1"/>
  <c r="E62" i="1"/>
  <c r="C38" i="1"/>
  <c r="E38" i="1"/>
  <c r="E99" i="1"/>
  <c r="C99" i="1"/>
  <c r="C131" i="1"/>
  <c r="E131" i="1"/>
  <c r="C155" i="1"/>
  <c r="E155" i="1"/>
  <c r="E136" i="1"/>
  <c r="C136" i="1"/>
  <c r="E163" i="1"/>
  <c r="C163" i="1"/>
  <c r="C192" i="1"/>
  <c r="E192" i="1"/>
  <c r="C216" i="1"/>
  <c r="E216" i="1"/>
  <c r="E185" i="1"/>
  <c r="C185" i="1"/>
  <c r="E209" i="1"/>
  <c r="C209" i="1"/>
  <c r="E258" i="1"/>
  <c r="C258" i="1"/>
  <c r="C237" i="1"/>
  <c r="E237" i="1"/>
  <c r="E250" i="1"/>
  <c r="C250" i="1"/>
  <c r="E233" i="1"/>
  <c r="C233" i="1"/>
  <c r="E294" i="1"/>
  <c r="C294" i="1"/>
  <c r="C265" i="1"/>
  <c r="E265" i="1"/>
  <c r="C289" i="1"/>
  <c r="E289" i="1"/>
  <c r="E308" i="1"/>
  <c r="C308" i="1"/>
  <c r="C373" i="1"/>
  <c r="E373" i="1"/>
  <c r="C323" i="1"/>
  <c r="E323" i="1"/>
  <c r="E350" i="1"/>
  <c r="C350" i="1"/>
  <c r="C339" i="1"/>
  <c r="E339" i="1"/>
  <c r="E352" i="1"/>
  <c r="C352" i="1"/>
  <c r="E128" i="1"/>
  <c r="C128" i="1"/>
  <c r="E73" i="1"/>
  <c r="C73" i="1"/>
  <c r="E49" i="1"/>
  <c r="C49" i="1"/>
  <c r="E17" i="1"/>
  <c r="C17" i="1"/>
  <c r="E124" i="1"/>
  <c r="C124" i="1"/>
  <c r="E77" i="1"/>
  <c r="C77" i="1"/>
  <c r="C92" i="1"/>
  <c r="E92" i="1"/>
  <c r="C76" i="1"/>
  <c r="E76" i="1"/>
  <c r="C114" i="1"/>
  <c r="E114" i="1"/>
  <c r="C98" i="1"/>
  <c r="E98" i="1"/>
  <c r="E85" i="1"/>
  <c r="C85" i="1"/>
  <c r="C72" i="1"/>
  <c r="E72" i="1"/>
  <c r="C64" i="1"/>
  <c r="E64" i="1"/>
  <c r="C56" i="1"/>
  <c r="E56" i="1"/>
  <c r="C48" i="1"/>
  <c r="E48" i="1"/>
  <c r="C40" i="1"/>
  <c r="E40" i="1"/>
  <c r="C32" i="1"/>
  <c r="E32" i="1"/>
  <c r="C24" i="1"/>
  <c r="E24" i="1"/>
  <c r="C16" i="1"/>
  <c r="E16" i="1"/>
  <c r="D16" i="1"/>
  <c r="E97" i="1"/>
  <c r="C97" i="1"/>
  <c r="E105" i="1"/>
  <c r="C105" i="1"/>
  <c r="E113" i="1"/>
  <c r="C113" i="1"/>
  <c r="C121" i="1"/>
  <c r="E121" i="1"/>
  <c r="C129" i="1"/>
  <c r="E129" i="1"/>
  <c r="C137" i="1"/>
  <c r="E137" i="1"/>
  <c r="C145" i="1"/>
  <c r="E145" i="1"/>
  <c r="C153" i="1"/>
  <c r="E153" i="1"/>
  <c r="E165" i="1"/>
  <c r="C165" i="1"/>
  <c r="C166" i="1"/>
  <c r="E166" i="1"/>
  <c r="E134" i="1"/>
  <c r="C134" i="1"/>
  <c r="E142" i="1"/>
  <c r="C142" i="1"/>
  <c r="E150" i="1"/>
  <c r="C150" i="1"/>
  <c r="E159" i="1"/>
  <c r="C159" i="1"/>
  <c r="C174" i="1"/>
  <c r="E174" i="1"/>
  <c r="C182" i="1"/>
  <c r="E182" i="1"/>
  <c r="C190" i="1"/>
  <c r="E190" i="1"/>
  <c r="C198" i="1"/>
  <c r="E198" i="1"/>
  <c r="C206" i="1"/>
  <c r="E206" i="1"/>
  <c r="C214" i="1"/>
  <c r="E214" i="1"/>
  <c r="C222" i="1"/>
  <c r="E222" i="1"/>
  <c r="E175" i="1"/>
  <c r="C175" i="1"/>
  <c r="E183" i="1"/>
  <c r="C183" i="1"/>
  <c r="E191" i="1"/>
  <c r="C191" i="1"/>
  <c r="E199" i="1"/>
  <c r="C199" i="1"/>
  <c r="E207" i="1"/>
  <c r="C207" i="1"/>
  <c r="E215" i="1"/>
  <c r="C215" i="1"/>
  <c r="E223" i="1"/>
  <c r="C223" i="1"/>
  <c r="E252" i="1"/>
  <c r="C252" i="1"/>
  <c r="E282" i="1"/>
  <c r="C282" i="1"/>
  <c r="C228" i="1"/>
  <c r="E228" i="1"/>
  <c r="C236" i="1"/>
  <c r="E236" i="1"/>
  <c r="C249" i="1"/>
  <c r="E249" i="1"/>
  <c r="E284" i="1"/>
  <c r="C284" i="1"/>
  <c r="E246" i="1"/>
  <c r="C246" i="1"/>
  <c r="E270" i="1"/>
  <c r="C270" i="1"/>
  <c r="E318" i="1"/>
  <c r="C318" i="1"/>
  <c r="E231" i="1"/>
  <c r="C231" i="1"/>
  <c r="C243" i="1"/>
  <c r="E243" i="1"/>
  <c r="E264" i="1"/>
  <c r="C264" i="1"/>
  <c r="C297" i="1"/>
  <c r="E297" i="1"/>
  <c r="E312" i="1"/>
  <c r="C312" i="1"/>
  <c r="C255" i="1"/>
  <c r="E255" i="1"/>
  <c r="C263" i="1"/>
  <c r="E263" i="1"/>
  <c r="C271" i="1"/>
  <c r="E271" i="1"/>
  <c r="C279" i="1"/>
  <c r="E279" i="1"/>
  <c r="C287" i="1"/>
  <c r="E287" i="1"/>
  <c r="C295" i="1"/>
  <c r="E295" i="1"/>
  <c r="E322" i="1"/>
  <c r="C322" i="1"/>
  <c r="E300" i="1"/>
  <c r="C300" i="1"/>
  <c r="E338" i="1"/>
  <c r="C338" i="1"/>
  <c r="C357" i="1"/>
  <c r="E357" i="1"/>
  <c r="C305" i="1"/>
  <c r="E305" i="1"/>
  <c r="C313" i="1"/>
  <c r="E313" i="1"/>
  <c r="C321" i="1"/>
  <c r="E321" i="1"/>
  <c r="E342" i="1"/>
  <c r="C342" i="1"/>
  <c r="E328" i="1"/>
  <c r="C328" i="1"/>
  <c r="E346" i="1"/>
  <c r="C346" i="1"/>
  <c r="E362" i="1"/>
  <c r="C362" i="1"/>
  <c r="C329" i="1"/>
  <c r="E329" i="1"/>
  <c r="C337" i="1"/>
  <c r="E337" i="1"/>
  <c r="C347" i="1"/>
  <c r="E347" i="1"/>
  <c r="C363" i="1"/>
  <c r="E363" i="1"/>
  <c r="E348" i="1"/>
  <c r="C348" i="1"/>
  <c r="E364" i="1"/>
  <c r="C364" i="1"/>
  <c r="E95" i="1"/>
  <c r="C95" i="1"/>
  <c r="E79" i="1"/>
  <c r="C79" i="1"/>
  <c r="C112" i="1"/>
  <c r="E112" i="1"/>
  <c r="C96" i="1"/>
  <c r="E96" i="1"/>
  <c r="E81" i="1"/>
  <c r="C81" i="1"/>
  <c r="E67" i="1"/>
  <c r="C67" i="1"/>
  <c r="E59" i="1"/>
  <c r="C59" i="1"/>
  <c r="E51" i="1"/>
  <c r="C51" i="1"/>
  <c r="E43" i="1"/>
  <c r="C43" i="1"/>
  <c r="E35" i="1"/>
  <c r="C35" i="1"/>
  <c r="E27" i="1"/>
  <c r="C27" i="1"/>
  <c r="E19" i="1"/>
  <c r="C19" i="1"/>
  <c r="C110" i="1"/>
  <c r="E110" i="1"/>
  <c r="C70" i="1"/>
  <c r="E70" i="1"/>
  <c r="C46" i="1"/>
  <c r="E46" i="1"/>
  <c r="C22" i="1"/>
  <c r="E22" i="1"/>
  <c r="C160" i="1"/>
  <c r="E160" i="1"/>
  <c r="E115" i="1"/>
  <c r="C115" i="1"/>
  <c r="C139" i="1"/>
  <c r="E139" i="1"/>
  <c r="E169" i="1"/>
  <c r="C169" i="1"/>
  <c r="E144" i="1"/>
  <c r="C144" i="1"/>
  <c r="C176" i="1"/>
  <c r="E176" i="1"/>
  <c r="C200" i="1"/>
  <c r="E200" i="1"/>
  <c r="C224" i="1"/>
  <c r="E224" i="1"/>
  <c r="E193" i="1"/>
  <c r="C193" i="1"/>
  <c r="E217" i="1"/>
  <c r="C217" i="1"/>
  <c r="E290" i="1"/>
  <c r="C290" i="1"/>
  <c r="E260" i="1"/>
  <c r="C260" i="1"/>
  <c r="E278" i="1"/>
  <c r="C278" i="1"/>
  <c r="C247" i="1"/>
  <c r="E247" i="1"/>
  <c r="E320" i="1"/>
  <c r="C320" i="1"/>
  <c r="C273" i="1"/>
  <c r="E273" i="1"/>
  <c r="C299" i="1"/>
  <c r="E299" i="1"/>
  <c r="C325" i="1"/>
  <c r="E325" i="1"/>
  <c r="C315" i="1"/>
  <c r="E315" i="1"/>
  <c r="E336" i="1"/>
  <c r="C336" i="1"/>
  <c r="C331" i="1"/>
  <c r="E331" i="1"/>
  <c r="C367" i="1"/>
  <c r="E367" i="1"/>
  <c r="C88" i="1"/>
  <c r="E88" i="1"/>
  <c r="C90" i="1"/>
  <c r="E90" i="1"/>
  <c r="E57" i="1"/>
  <c r="C57" i="1"/>
  <c r="E33" i="1"/>
  <c r="C33" i="1"/>
  <c r="E25" i="1"/>
  <c r="C25" i="1"/>
  <c r="C84" i="1"/>
  <c r="E84" i="1"/>
  <c r="E93" i="1"/>
  <c r="C93" i="1"/>
  <c r="C60" i="1"/>
  <c r="E60" i="1"/>
  <c r="C52" i="1"/>
  <c r="E52" i="1"/>
  <c r="C44" i="1"/>
  <c r="E44" i="1"/>
  <c r="C36" i="1"/>
  <c r="E36" i="1"/>
  <c r="C28" i="1"/>
  <c r="E28" i="1"/>
  <c r="C20" i="1"/>
  <c r="E20" i="1"/>
  <c r="C164" i="1"/>
  <c r="E164" i="1"/>
  <c r="E101" i="1"/>
  <c r="C101" i="1"/>
  <c r="E109" i="1"/>
  <c r="C109" i="1"/>
  <c r="E117" i="1"/>
  <c r="C117" i="1"/>
  <c r="C125" i="1"/>
  <c r="E125" i="1"/>
  <c r="C133" i="1"/>
  <c r="E133" i="1"/>
  <c r="C141" i="1"/>
  <c r="E141" i="1"/>
  <c r="C149" i="1"/>
  <c r="E149" i="1"/>
  <c r="E157" i="1"/>
  <c r="C157" i="1"/>
  <c r="C158" i="1"/>
  <c r="E158" i="1"/>
  <c r="E130" i="1"/>
  <c r="C130" i="1"/>
  <c r="E138" i="1"/>
  <c r="C138" i="1"/>
  <c r="E146" i="1"/>
  <c r="C146" i="1"/>
  <c r="E154" i="1"/>
  <c r="C154" i="1"/>
  <c r="E167" i="1"/>
  <c r="C167" i="1"/>
  <c r="C178" i="1"/>
  <c r="E178" i="1"/>
  <c r="C186" i="1"/>
  <c r="E186" i="1"/>
  <c r="C194" i="1"/>
  <c r="E194" i="1"/>
  <c r="C202" i="1"/>
  <c r="E202" i="1"/>
  <c r="C210" i="1"/>
  <c r="E210" i="1"/>
  <c r="C218" i="1"/>
  <c r="E218" i="1"/>
  <c r="E171" i="1"/>
  <c r="C171" i="1"/>
  <c r="E179" i="1"/>
  <c r="C179" i="1"/>
  <c r="E187" i="1"/>
  <c r="C187" i="1"/>
  <c r="E195" i="1"/>
  <c r="C195" i="1"/>
  <c r="E203" i="1"/>
  <c r="C203" i="1"/>
  <c r="E211" i="1"/>
  <c r="C211" i="1"/>
  <c r="E219" i="1"/>
  <c r="C219" i="1"/>
  <c r="E244" i="1"/>
  <c r="C244" i="1"/>
  <c r="E266" i="1"/>
  <c r="C266" i="1"/>
  <c r="E302" i="1"/>
  <c r="C302" i="1"/>
  <c r="C232" i="1"/>
  <c r="E232" i="1"/>
  <c r="C241" i="1"/>
  <c r="E241" i="1"/>
  <c r="E268" i="1"/>
  <c r="C268" i="1"/>
  <c r="E238" i="1"/>
  <c r="C238" i="1"/>
  <c r="E254" i="1"/>
  <c r="C254" i="1"/>
  <c r="E286" i="1"/>
  <c r="C286" i="1"/>
  <c r="E227" i="1"/>
  <c r="C227" i="1"/>
  <c r="E235" i="1"/>
  <c r="C235" i="1"/>
  <c r="C251" i="1"/>
  <c r="E251" i="1"/>
  <c r="E280" i="1"/>
  <c r="C280" i="1"/>
  <c r="E298" i="1"/>
  <c r="C298" i="1"/>
  <c r="C353" i="1"/>
  <c r="E353" i="1"/>
  <c r="C259" i="1"/>
  <c r="E259" i="1"/>
  <c r="C267" i="1"/>
  <c r="E267" i="1"/>
  <c r="C275" i="1"/>
  <c r="E275" i="1"/>
  <c r="C283" i="1"/>
  <c r="E283" i="1"/>
  <c r="C291" i="1"/>
  <c r="E291" i="1"/>
  <c r="E306" i="1"/>
  <c r="C306" i="1"/>
  <c r="C369" i="1"/>
  <c r="E369" i="1"/>
  <c r="E316" i="1"/>
  <c r="C316" i="1"/>
  <c r="E332" i="1"/>
  <c r="C332" i="1"/>
  <c r="C301" i="1"/>
  <c r="E301" i="1"/>
  <c r="C309" i="1"/>
  <c r="E309" i="1"/>
  <c r="C317" i="1"/>
  <c r="E317" i="1"/>
  <c r="E326" i="1"/>
  <c r="C326" i="1"/>
  <c r="C361" i="1"/>
  <c r="E361" i="1"/>
  <c r="C349" i="1"/>
  <c r="E349" i="1"/>
  <c r="E354" i="1"/>
  <c r="C354" i="1"/>
  <c r="E370" i="1"/>
  <c r="C370" i="1"/>
  <c r="C333" i="1"/>
  <c r="E333" i="1"/>
  <c r="C341" i="1"/>
  <c r="E341" i="1"/>
  <c r="C355" i="1"/>
  <c r="E355" i="1"/>
  <c r="C371" i="1"/>
  <c r="E371" i="1"/>
  <c r="E356" i="1"/>
  <c r="C356" i="1"/>
  <c r="E372" i="1"/>
  <c r="C372" i="1"/>
  <c r="E87" i="1"/>
  <c r="C87" i="1"/>
  <c r="E120" i="1"/>
  <c r="C120" i="1"/>
  <c r="C104" i="1"/>
  <c r="E104" i="1"/>
  <c r="E89" i="1"/>
  <c r="C89" i="1"/>
  <c r="E71" i="1"/>
  <c r="C71" i="1"/>
  <c r="E63" i="1"/>
  <c r="C63" i="1"/>
  <c r="E55" i="1"/>
  <c r="C55" i="1"/>
  <c r="E47" i="1"/>
  <c r="C47" i="1"/>
  <c r="E39" i="1"/>
  <c r="C39" i="1"/>
  <c r="E31" i="1"/>
  <c r="C31" i="1"/>
  <c r="E23" i="1"/>
  <c r="C23" i="1"/>
  <c r="D17" i="4" l="1"/>
  <c r="I17" i="4" s="1"/>
  <c r="F14" i="3"/>
  <c r="G14" i="3" s="1"/>
  <c r="H14" i="3" s="1"/>
  <c r="J14" i="3" s="1"/>
  <c r="K14" i="3"/>
  <c r="D14" i="2"/>
  <c r="I14" i="2" s="1"/>
  <c r="K14" i="2" s="1"/>
  <c r="F16" i="1"/>
  <c r="I16" i="1"/>
  <c r="F17" i="4" l="1"/>
  <c r="G17" i="4"/>
  <c r="H17" i="4" s="1"/>
  <c r="J17" i="4" s="1"/>
  <c r="K17" i="4"/>
  <c r="D15" i="3"/>
  <c r="F15" i="3" s="1"/>
  <c r="F14" i="2"/>
  <c r="G14" i="2" s="1"/>
  <c r="H14" i="2" s="1"/>
  <c r="J14" i="2" s="1"/>
  <c r="G16" i="1"/>
  <c r="H16" i="1" s="1"/>
  <c r="J16" i="1" s="1"/>
  <c r="K16" i="1"/>
  <c r="D18" i="4" l="1"/>
  <c r="F18" i="4" s="1"/>
  <c r="I15" i="3"/>
  <c r="K15" i="3"/>
  <c r="G15" i="3"/>
  <c r="H15" i="3" s="1"/>
  <c r="J15" i="3" s="1"/>
  <c r="D15" i="2"/>
  <c r="I15" i="2" s="1"/>
  <c r="D17" i="1"/>
  <c r="I18" i="4" l="1"/>
  <c r="K18" i="4"/>
  <c r="G18" i="4"/>
  <c r="H18" i="4" s="1"/>
  <c r="J18" i="4" s="1"/>
  <c r="D16" i="3"/>
  <c r="I16" i="3" s="1"/>
  <c r="F15" i="2"/>
  <c r="G15" i="2" s="1"/>
  <c r="H15" i="2" s="1"/>
  <c r="J15" i="2" s="1"/>
  <c r="K15" i="2"/>
  <c r="I17" i="1"/>
  <c r="F17" i="1"/>
  <c r="D19" i="4" l="1"/>
  <c r="I19" i="4" s="1"/>
  <c r="F16" i="3"/>
  <c r="G16" i="3" s="1"/>
  <c r="H16" i="3" s="1"/>
  <c r="J16" i="3" s="1"/>
  <c r="K16" i="3"/>
  <c r="D16" i="2"/>
  <c r="I16" i="2" s="1"/>
  <c r="G17" i="1"/>
  <c r="H17" i="1" s="1"/>
  <c r="J17" i="1" s="1"/>
  <c r="K17" i="1"/>
  <c r="F19" i="4" l="1"/>
  <c r="G19" i="4" s="1"/>
  <c r="H19" i="4" s="1"/>
  <c r="J19" i="4" s="1"/>
  <c r="K19" i="4"/>
  <c r="D17" i="3"/>
  <c r="I17" i="3" s="1"/>
  <c r="F16" i="2"/>
  <c r="G16" i="2" s="1"/>
  <c r="H16" i="2" s="1"/>
  <c r="J16" i="2" s="1"/>
  <c r="K16" i="2"/>
  <c r="D18" i="1"/>
  <c r="D20" i="4" l="1"/>
  <c r="I20" i="4" s="1"/>
  <c r="F17" i="3"/>
  <c r="K17" i="3"/>
  <c r="G17" i="3"/>
  <c r="H17" i="3" s="1"/>
  <c r="J17" i="3" s="1"/>
  <c r="D17" i="2"/>
  <c r="I17" i="2" s="1"/>
  <c r="I18" i="1"/>
  <c r="F18" i="1"/>
  <c r="F20" i="4" l="1"/>
  <c r="G20" i="4" s="1"/>
  <c r="H20" i="4" s="1"/>
  <c r="J20" i="4" s="1"/>
  <c r="K20" i="4"/>
  <c r="D18" i="3"/>
  <c r="I18" i="3" s="1"/>
  <c r="K18" i="3" s="1"/>
  <c r="F17" i="2"/>
  <c r="G17" i="2" s="1"/>
  <c r="H17" i="2" s="1"/>
  <c r="J17" i="2" s="1"/>
  <c r="K17" i="2"/>
  <c r="G18" i="1"/>
  <c r="H18" i="1" s="1"/>
  <c r="J18" i="1" s="1"/>
  <c r="K18" i="1"/>
  <c r="D21" i="4" l="1"/>
  <c r="I21" i="4" s="1"/>
  <c r="K21" i="4" s="1"/>
  <c r="F18" i="3"/>
  <c r="G18" i="3"/>
  <c r="H18" i="3" s="1"/>
  <c r="J18" i="3" s="1"/>
  <c r="D19" i="3" s="1"/>
  <c r="D18" i="2"/>
  <c r="I18" i="2" s="1"/>
  <c r="K18" i="2" s="1"/>
  <c r="D19" i="1"/>
  <c r="F21" i="4" l="1"/>
  <c r="G21" i="4" s="1"/>
  <c r="H21" i="4" s="1"/>
  <c r="J21" i="4" s="1"/>
  <c r="D22" i="4" s="1"/>
  <c r="I19" i="3"/>
  <c r="K19" i="3" s="1"/>
  <c r="F19" i="3"/>
  <c r="F18" i="2"/>
  <c r="G18" i="2" s="1"/>
  <c r="H18" i="2" s="1"/>
  <c r="J18" i="2" s="1"/>
  <c r="D19" i="2" s="1"/>
  <c r="I19" i="1"/>
  <c r="F19" i="1"/>
  <c r="F22" i="4" l="1"/>
  <c r="I22" i="4"/>
  <c r="K22" i="4" s="1"/>
  <c r="G19" i="3"/>
  <c r="H19" i="3" s="1"/>
  <c r="J19" i="3" s="1"/>
  <c r="D20" i="3" s="1"/>
  <c r="I19" i="2"/>
  <c r="K19" i="2" s="1"/>
  <c r="F19" i="2"/>
  <c r="K19" i="1"/>
  <c r="G19" i="1"/>
  <c r="H19" i="1" s="1"/>
  <c r="J19" i="1" s="1"/>
  <c r="G22" i="4" l="1"/>
  <c r="H22" i="4" s="1"/>
  <c r="J22" i="4" s="1"/>
  <c r="D23" i="4" s="1"/>
  <c r="I20" i="3"/>
  <c r="K20" i="3" s="1"/>
  <c r="F20" i="3"/>
  <c r="G19" i="2"/>
  <c r="H19" i="2" s="1"/>
  <c r="J19" i="2" s="1"/>
  <c r="D20" i="2" s="1"/>
  <c r="D20" i="1"/>
  <c r="I23" i="4" l="1"/>
  <c r="K23" i="4" s="1"/>
  <c r="F23" i="4"/>
  <c r="G20" i="3"/>
  <c r="H20" i="3" s="1"/>
  <c r="J20" i="3" s="1"/>
  <c r="D21" i="3" s="1"/>
  <c r="I20" i="2"/>
  <c r="K20" i="2" s="1"/>
  <c r="F20" i="2"/>
  <c r="F20" i="1"/>
  <c r="I20" i="1"/>
  <c r="G23" i="4" l="1"/>
  <c r="H23" i="4" s="1"/>
  <c r="J23" i="4" s="1"/>
  <c r="D24" i="4" s="1"/>
  <c r="I21" i="3"/>
  <c r="K21" i="3" s="1"/>
  <c r="F21" i="3"/>
  <c r="G20" i="2"/>
  <c r="H20" i="2" s="1"/>
  <c r="J20" i="2" s="1"/>
  <c r="D21" i="2" s="1"/>
  <c r="G20" i="1"/>
  <c r="H20" i="1" s="1"/>
  <c r="J20" i="1" s="1"/>
  <c r="K20" i="1"/>
  <c r="I24" i="4" l="1"/>
  <c r="K24" i="4" s="1"/>
  <c r="F24" i="4"/>
  <c r="G21" i="3"/>
  <c r="H21" i="3" s="1"/>
  <c r="J21" i="3" s="1"/>
  <c r="D22" i="3" s="1"/>
  <c r="I21" i="2"/>
  <c r="K21" i="2" s="1"/>
  <c r="F21" i="2"/>
  <c r="D21" i="1"/>
  <c r="G24" i="4" l="1"/>
  <c r="H24" i="4" s="1"/>
  <c r="J24" i="4" s="1"/>
  <c r="D25" i="4" s="1"/>
  <c r="I22" i="3"/>
  <c r="K22" i="3" s="1"/>
  <c r="F22" i="3"/>
  <c r="G21" i="2"/>
  <c r="H21" i="2" s="1"/>
  <c r="J21" i="2" s="1"/>
  <c r="D22" i="2" s="1"/>
  <c r="I21" i="1"/>
  <c r="K21" i="1" s="1"/>
  <c r="F21" i="1"/>
  <c r="G21" i="1" s="1"/>
  <c r="H21" i="1" s="1"/>
  <c r="J21" i="1" s="1"/>
  <c r="D22" i="1" s="1"/>
  <c r="F25" i="4" l="1"/>
  <c r="I25" i="4"/>
  <c r="K25" i="4" s="1"/>
  <c r="G22" i="3"/>
  <c r="H22" i="3" s="1"/>
  <c r="J22" i="3" s="1"/>
  <c r="D23" i="3" s="1"/>
  <c r="I22" i="2"/>
  <c r="K22" i="2" s="1"/>
  <c r="F22" i="2"/>
  <c r="F22" i="1"/>
  <c r="G22" i="1" s="1"/>
  <c r="I22" i="1"/>
  <c r="K22" i="1" s="1"/>
  <c r="G25" i="4" l="1"/>
  <c r="H25" i="4" s="1"/>
  <c r="J25" i="4" s="1"/>
  <c r="D26" i="4" s="1"/>
  <c r="I23" i="3"/>
  <c r="K23" i="3" s="1"/>
  <c r="F23" i="3"/>
  <c r="G22" i="2"/>
  <c r="H22" i="2" s="1"/>
  <c r="J22" i="2" s="1"/>
  <c r="D23" i="2" s="1"/>
  <c r="H22" i="1"/>
  <c r="J22" i="1" s="1"/>
  <c r="D23" i="1" s="1"/>
  <c r="I23" i="1" s="1"/>
  <c r="K23" i="1" s="1"/>
  <c r="I26" i="4" l="1"/>
  <c r="K26" i="4" s="1"/>
  <c r="F26" i="4"/>
  <c r="G23" i="3"/>
  <c r="H23" i="3" s="1"/>
  <c r="J23" i="3" s="1"/>
  <c r="D24" i="3" s="1"/>
  <c r="I23" i="2"/>
  <c r="K23" i="2" s="1"/>
  <c r="F23" i="2"/>
  <c r="F23" i="1"/>
  <c r="G23" i="1" s="1"/>
  <c r="H23" i="1" s="1"/>
  <c r="J23" i="1" s="1"/>
  <c r="D24" i="1" s="1"/>
  <c r="G26" i="4" l="1"/>
  <c r="H26" i="4" s="1"/>
  <c r="J26" i="4" s="1"/>
  <c r="D27" i="4" s="1"/>
  <c r="I24" i="3"/>
  <c r="K24" i="3" s="1"/>
  <c r="F24" i="3"/>
  <c r="G23" i="2"/>
  <c r="H23" i="2" s="1"/>
  <c r="J23" i="2" s="1"/>
  <c r="D24" i="2" s="1"/>
  <c r="I24" i="1"/>
  <c r="K24" i="1" s="1"/>
  <c r="F24" i="1"/>
  <c r="I27" i="4" l="1"/>
  <c r="K27" i="4" s="1"/>
  <c r="F27" i="4"/>
  <c r="G24" i="3"/>
  <c r="H24" i="3" s="1"/>
  <c r="J24" i="3" s="1"/>
  <c r="D25" i="3" s="1"/>
  <c r="I24" i="2"/>
  <c r="K24" i="2" s="1"/>
  <c r="F24" i="2"/>
  <c r="G24" i="1"/>
  <c r="H24" i="1" s="1"/>
  <c r="J24" i="1" s="1"/>
  <c r="D25" i="1" s="1"/>
  <c r="G27" i="4" l="1"/>
  <c r="H27" i="4" s="1"/>
  <c r="J27" i="4" s="1"/>
  <c r="D28" i="4" s="1"/>
  <c r="I25" i="3"/>
  <c r="K25" i="3" s="1"/>
  <c r="F25" i="3"/>
  <c r="G24" i="2"/>
  <c r="H24" i="2" s="1"/>
  <c r="J24" i="2" s="1"/>
  <c r="D25" i="2" s="1"/>
  <c r="F25" i="1"/>
  <c r="G25" i="1" s="1"/>
  <c r="I25" i="1"/>
  <c r="K25" i="1" s="1"/>
  <c r="F28" i="4" l="1"/>
  <c r="I28" i="4"/>
  <c r="K28" i="4" s="1"/>
  <c r="G25" i="3"/>
  <c r="H25" i="3" s="1"/>
  <c r="J25" i="3" s="1"/>
  <c r="D26" i="3" s="1"/>
  <c r="I25" i="2"/>
  <c r="K25" i="2" s="1"/>
  <c r="F25" i="2"/>
  <c r="H25" i="1"/>
  <c r="J25" i="1" s="1"/>
  <c r="D26" i="1" s="1"/>
  <c r="F26" i="1" s="1"/>
  <c r="G26" i="1" s="1"/>
  <c r="G28" i="4" l="1"/>
  <c r="H28" i="4" s="1"/>
  <c r="J28" i="4" s="1"/>
  <c r="D29" i="4" s="1"/>
  <c r="I26" i="3"/>
  <c r="K26" i="3" s="1"/>
  <c r="F26" i="3"/>
  <c r="G25" i="2"/>
  <c r="H25" i="2" s="1"/>
  <c r="J25" i="2" s="1"/>
  <c r="D26" i="2" s="1"/>
  <c r="I26" i="1"/>
  <c r="K26" i="1" s="1"/>
  <c r="I29" i="4" l="1"/>
  <c r="K29" i="4" s="1"/>
  <c r="F29" i="4"/>
  <c r="G26" i="3"/>
  <c r="H26" i="3" s="1"/>
  <c r="J26" i="3" s="1"/>
  <c r="D27" i="3" s="1"/>
  <c r="I26" i="2"/>
  <c r="K26" i="2" s="1"/>
  <c r="F26" i="2"/>
  <c r="H26" i="1"/>
  <c r="J26" i="1" s="1"/>
  <c r="D27" i="1" s="1"/>
  <c r="I27" i="1" s="1"/>
  <c r="K27" i="1" s="1"/>
  <c r="G29" i="4" l="1"/>
  <c r="H29" i="4" s="1"/>
  <c r="J29" i="4" s="1"/>
  <c r="D30" i="4" s="1"/>
  <c r="I27" i="3"/>
  <c r="K27" i="3" s="1"/>
  <c r="F27" i="3"/>
  <c r="G26" i="2"/>
  <c r="H26" i="2" s="1"/>
  <c r="J26" i="2" s="1"/>
  <c r="D27" i="2" s="1"/>
  <c r="F27" i="1"/>
  <c r="G27" i="1" s="1"/>
  <c r="H27" i="1" s="1"/>
  <c r="J27" i="1" s="1"/>
  <c r="D28" i="1" s="1"/>
  <c r="I28" i="1" s="1"/>
  <c r="K28" i="1" s="1"/>
  <c r="I30" i="4" l="1"/>
  <c r="K30" i="4" s="1"/>
  <c r="F30" i="4"/>
  <c r="G27" i="3"/>
  <c r="H27" i="3" s="1"/>
  <c r="J27" i="3" s="1"/>
  <c r="D28" i="3" s="1"/>
  <c r="F27" i="2"/>
  <c r="I27" i="2"/>
  <c r="K27" i="2" s="1"/>
  <c r="F28" i="1"/>
  <c r="G28" i="1" s="1"/>
  <c r="H28" i="1" s="1"/>
  <c r="J28" i="1" s="1"/>
  <c r="D29" i="1" s="1"/>
  <c r="I29" i="1" s="1"/>
  <c r="K29" i="1" s="1"/>
  <c r="G30" i="4" l="1"/>
  <c r="H30" i="4" s="1"/>
  <c r="J30" i="4" s="1"/>
  <c r="D31" i="4" s="1"/>
  <c r="F28" i="3"/>
  <c r="I28" i="3"/>
  <c r="K28" i="3" s="1"/>
  <c r="G27" i="2"/>
  <c r="H27" i="2" s="1"/>
  <c r="J27" i="2" s="1"/>
  <c r="D28" i="2" s="1"/>
  <c r="F29" i="1"/>
  <c r="G29" i="1" s="1"/>
  <c r="H29" i="1" s="1"/>
  <c r="J29" i="1" s="1"/>
  <c r="D30" i="1" s="1"/>
  <c r="F30" i="1" s="1"/>
  <c r="F31" i="4" l="1"/>
  <c r="I31" i="4"/>
  <c r="K31" i="4" s="1"/>
  <c r="G28" i="3"/>
  <c r="H28" i="3" s="1"/>
  <c r="J28" i="3" s="1"/>
  <c r="D29" i="3" s="1"/>
  <c r="I28" i="2"/>
  <c r="K28" i="2" s="1"/>
  <c r="F28" i="2"/>
  <c r="I30" i="1"/>
  <c r="K30" i="1" s="1"/>
  <c r="G30" i="1"/>
  <c r="H30" i="1" s="1"/>
  <c r="J30" i="1" s="1"/>
  <c r="D31" i="1" s="1"/>
  <c r="G31" i="4" l="1"/>
  <c r="H31" i="4" s="1"/>
  <c r="J31" i="4" s="1"/>
  <c r="D32" i="4" s="1"/>
  <c r="F29" i="3"/>
  <c r="I29" i="3"/>
  <c r="K29" i="3" s="1"/>
  <c r="G28" i="2"/>
  <c r="H28" i="2" s="1"/>
  <c r="J28" i="2" s="1"/>
  <c r="D29" i="2" s="1"/>
  <c r="I31" i="1"/>
  <c r="K31" i="1" s="1"/>
  <c r="F31" i="1"/>
  <c r="I32" i="4" l="1"/>
  <c r="K32" i="4" s="1"/>
  <c r="F32" i="4"/>
  <c r="G29" i="3"/>
  <c r="H29" i="3" s="1"/>
  <c r="J29" i="3" s="1"/>
  <c r="D30" i="3" s="1"/>
  <c r="I29" i="2"/>
  <c r="K29" i="2" s="1"/>
  <c r="F29" i="2"/>
  <c r="G31" i="1"/>
  <c r="H31" i="1" s="1"/>
  <c r="J31" i="1" s="1"/>
  <c r="D32" i="1" s="1"/>
  <c r="G32" i="4" l="1"/>
  <c r="H32" i="4" s="1"/>
  <c r="J32" i="4" s="1"/>
  <c r="D33" i="4" s="1"/>
  <c r="I30" i="3"/>
  <c r="K30" i="3" s="1"/>
  <c r="F30" i="3"/>
  <c r="G29" i="2"/>
  <c r="H29" i="2" s="1"/>
  <c r="J29" i="2" s="1"/>
  <c r="D30" i="2" s="1"/>
  <c r="I32" i="1"/>
  <c r="K32" i="1" s="1"/>
  <c r="F32" i="1"/>
  <c r="F33" i="4" l="1"/>
  <c r="I33" i="4"/>
  <c r="K33" i="4" s="1"/>
  <c r="G30" i="3"/>
  <c r="H30" i="3" s="1"/>
  <c r="J30" i="3" s="1"/>
  <c r="D31" i="3" s="1"/>
  <c r="I30" i="2"/>
  <c r="K30" i="2" s="1"/>
  <c r="F30" i="2"/>
  <c r="G32" i="1"/>
  <c r="H32" i="1" s="1"/>
  <c r="J32" i="1" s="1"/>
  <c r="D33" i="1" s="1"/>
  <c r="G33" i="4" l="1"/>
  <c r="H33" i="4" s="1"/>
  <c r="J33" i="4" s="1"/>
  <c r="D34" i="4" s="1"/>
  <c r="F31" i="3"/>
  <c r="I31" i="3"/>
  <c r="K31" i="3" s="1"/>
  <c r="G30" i="2"/>
  <c r="H30" i="2" s="1"/>
  <c r="J30" i="2" s="1"/>
  <c r="D31" i="2" s="1"/>
  <c r="I33" i="1"/>
  <c r="K33" i="1" s="1"/>
  <c r="F33" i="1"/>
  <c r="I34" i="4" l="1"/>
  <c r="K34" i="4" s="1"/>
  <c r="F34" i="4"/>
  <c r="G31" i="3"/>
  <c r="H31" i="3" s="1"/>
  <c r="J31" i="3" s="1"/>
  <c r="D32" i="3" s="1"/>
  <c r="I31" i="2"/>
  <c r="K31" i="2" s="1"/>
  <c r="F31" i="2"/>
  <c r="G33" i="1"/>
  <c r="H33" i="1" s="1"/>
  <c r="J33" i="1" s="1"/>
  <c r="D34" i="1" s="1"/>
  <c r="G34" i="4" l="1"/>
  <c r="H34" i="4" s="1"/>
  <c r="J34" i="4" s="1"/>
  <c r="D35" i="4" s="1"/>
  <c r="I32" i="3"/>
  <c r="K32" i="3" s="1"/>
  <c r="F32" i="3"/>
  <c r="G31" i="2"/>
  <c r="H31" i="2" s="1"/>
  <c r="J31" i="2" s="1"/>
  <c r="D32" i="2" s="1"/>
  <c r="I34" i="1"/>
  <c r="K34" i="1" s="1"/>
  <c r="F34" i="1"/>
  <c r="I35" i="4" l="1"/>
  <c r="K35" i="4" s="1"/>
  <c r="F35" i="4"/>
  <c r="G32" i="3"/>
  <c r="H32" i="3" s="1"/>
  <c r="J32" i="3" s="1"/>
  <c r="D33" i="3" s="1"/>
  <c r="F32" i="2"/>
  <c r="I32" i="2"/>
  <c r="K32" i="2" s="1"/>
  <c r="G34" i="1"/>
  <c r="H34" i="1" s="1"/>
  <c r="J34" i="1" s="1"/>
  <c r="D35" i="1" s="1"/>
  <c r="G35" i="4" l="1"/>
  <c r="H35" i="4" s="1"/>
  <c r="J35" i="4" s="1"/>
  <c r="D36" i="4" s="1"/>
  <c r="F33" i="3"/>
  <c r="I33" i="3"/>
  <c r="K33" i="3" s="1"/>
  <c r="G32" i="2"/>
  <c r="H32" i="2" s="1"/>
  <c r="J32" i="2" s="1"/>
  <c r="D33" i="2" s="1"/>
  <c r="I35" i="1"/>
  <c r="K35" i="1" s="1"/>
  <c r="F35" i="1"/>
  <c r="F36" i="4" l="1"/>
  <c r="I36" i="4"/>
  <c r="K36" i="4" s="1"/>
  <c r="G33" i="3"/>
  <c r="H33" i="3" s="1"/>
  <c r="J33" i="3" s="1"/>
  <c r="D34" i="3" s="1"/>
  <c r="F33" i="2"/>
  <c r="I33" i="2"/>
  <c r="K33" i="2" s="1"/>
  <c r="G35" i="1"/>
  <c r="H35" i="1" s="1"/>
  <c r="J35" i="1" s="1"/>
  <c r="D36" i="1" s="1"/>
  <c r="G36" i="4" l="1"/>
  <c r="H36" i="4" s="1"/>
  <c r="J36" i="4" s="1"/>
  <c r="D37" i="4" s="1"/>
  <c r="I34" i="3"/>
  <c r="K34" i="3" s="1"/>
  <c r="F34" i="3"/>
  <c r="G33" i="2"/>
  <c r="H33" i="2" s="1"/>
  <c r="J33" i="2" s="1"/>
  <c r="D34" i="2" s="1"/>
  <c r="I36" i="1"/>
  <c r="K36" i="1" s="1"/>
  <c r="F36" i="1"/>
  <c r="I37" i="4" l="1"/>
  <c r="K37" i="4" s="1"/>
  <c r="F37" i="4"/>
  <c r="G34" i="3"/>
  <c r="H34" i="3" s="1"/>
  <c r="J34" i="3" s="1"/>
  <c r="D35" i="3" s="1"/>
  <c r="I34" i="2"/>
  <c r="K34" i="2" s="1"/>
  <c r="F34" i="2"/>
  <c r="G36" i="1"/>
  <c r="H36" i="1" s="1"/>
  <c r="J36" i="1" s="1"/>
  <c r="D37" i="1" s="1"/>
  <c r="G37" i="4" l="1"/>
  <c r="H37" i="4" s="1"/>
  <c r="J37" i="4" s="1"/>
  <c r="D38" i="4" s="1"/>
  <c r="I35" i="3"/>
  <c r="K35" i="3" s="1"/>
  <c r="F35" i="3"/>
  <c r="G34" i="2"/>
  <c r="H34" i="2" s="1"/>
  <c r="J34" i="2" s="1"/>
  <c r="D35" i="2" s="1"/>
  <c r="I37" i="1"/>
  <c r="K37" i="1" s="1"/>
  <c r="F37" i="1"/>
  <c r="I38" i="4" l="1"/>
  <c r="K38" i="4" s="1"/>
  <c r="F38" i="4"/>
  <c r="G35" i="3"/>
  <c r="H35" i="3" s="1"/>
  <c r="J35" i="3" s="1"/>
  <c r="D36" i="3" s="1"/>
  <c r="I35" i="2"/>
  <c r="K35" i="2" s="1"/>
  <c r="F35" i="2"/>
  <c r="G37" i="1"/>
  <c r="H37" i="1" s="1"/>
  <c r="J37" i="1" s="1"/>
  <c r="D38" i="1" s="1"/>
  <c r="G38" i="4" l="1"/>
  <c r="H38" i="4" s="1"/>
  <c r="J38" i="4" s="1"/>
  <c r="D39" i="4" s="1"/>
  <c r="I36" i="3"/>
  <c r="K36" i="3" s="1"/>
  <c r="F36" i="3"/>
  <c r="G35" i="2"/>
  <c r="H35" i="2" s="1"/>
  <c r="J35" i="2" s="1"/>
  <c r="D36" i="2" s="1"/>
  <c r="I38" i="1"/>
  <c r="K38" i="1" s="1"/>
  <c r="F38" i="1"/>
  <c r="I39" i="4" l="1"/>
  <c r="K39" i="4" s="1"/>
  <c r="F39" i="4"/>
  <c r="G36" i="3"/>
  <c r="H36" i="3" s="1"/>
  <c r="J36" i="3" s="1"/>
  <c r="D37" i="3" s="1"/>
  <c r="I36" i="2"/>
  <c r="K36" i="2" s="1"/>
  <c r="F36" i="2"/>
  <c r="G38" i="1"/>
  <c r="H38" i="1" s="1"/>
  <c r="J38" i="1" s="1"/>
  <c r="D39" i="1" s="1"/>
  <c r="G39" i="4" l="1"/>
  <c r="H39" i="4" s="1"/>
  <c r="J39" i="4" s="1"/>
  <c r="D40" i="4" s="1"/>
  <c r="I37" i="3"/>
  <c r="K37" i="3" s="1"/>
  <c r="F37" i="3"/>
  <c r="G36" i="2"/>
  <c r="H36" i="2" s="1"/>
  <c r="J36" i="2" s="1"/>
  <c r="D37" i="2" s="1"/>
  <c r="I39" i="1"/>
  <c r="K39" i="1" s="1"/>
  <c r="F39" i="1"/>
  <c r="I40" i="4" l="1"/>
  <c r="K40" i="4" s="1"/>
  <c r="F40" i="4"/>
  <c r="G37" i="3"/>
  <c r="H37" i="3" s="1"/>
  <c r="J37" i="3" s="1"/>
  <c r="D38" i="3" s="1"/>
  <c r="I37" i="2"/>
  <c r="K37" i="2" s="1"/>
  <c r="F37" i="2"/>
  <c r="G39" i="1"/>
  <c r="H39" i="1" s="1"/>
  <c r="J39" i="1" s="1"/>
  <c r="D40" i="1" s="1"/>
  <c r="G40" i="4" l="1"/>
  <c r="H40" i="4" s="1"/>
  <c r="J40" i="4" s="1"/>
  <c r="D41" i="4" s="1"/>
  <c r="I38" i="3"/>
  <c r="K38" i="3" s="1"/>
  <c r="F38" i="3"/>
  <c r="G37" i="2"/>
  <c r="H37" i="2" s="1"/>
  <c r="J37" i="2" s="1"/>
  <c r="D38" i="2" s="1"/>
  <c r="F40" i="1"/>
  <c r="I40" i="1"/>
  <c r="K40" i="1" s="1"/>
  <c r="I41" i="4" l="1"/>
  <c r="K41" i="4" s="1"/>
  <c r="F41" i="4"/>
  <c r="G38" i="3"/>
  <c r="H38" i="3" s="1"/>
  <c r="J38" i="3" s="1"/>
  <c r="D39" i="3" s="1"/>
  <c r="I38" i="2"/>
  <c r="K38" i="2" s="1"/>
  <c r="F38" i="2"/>
  <c r="G40" i="1"/>
  <c r="H40" i="1" s="1"/>
  <c r="J40" i="1" s="1"/>
  <c r="D41" i="1" s="1"/>
  <c r="G41" i="4" l="1"/>
  <c r="H41" i="4" s="1"/>
  <c r="J41" i="4" s="1"/>
  <c r="D42" i="4" s="1"/>
  <c r="I39" i="3"/>
  <c r="K39" i="3" s="1"/>
  <c r="F39" i="3"/>
  <c r="G38" i="2"/>
  <c r="H38" i="2" s="1"/>
  <c r="J38" i="2" s="1"/>
  <c r="D39" i="2" s="1"/>
  <c r="I41" i="1"/>
  <c r="K41" i="1" s="1"/>
  <c r="F41" i="1"/>
  <c r="I42" i="4" l="1"/>
  <c r="K42" i="4" s="1"/>
  <c r="F42" i="4"/>
  <c r="G39" i="3"/>
  <c r="H39" i="3" s="1"/>
  <c r="J39" i="3" s="1"/>
  <c r="D40" i="3" s="1"/>
  <c r="F39" i="2"/>
  <c r="I39" i="2"/>
  <c r="K39" i="2" s="1"/>
  <c r="G41" i="1"/>
  <c r="H41" i="1" s="1"/>
  <c r="J41" i="1" s="1"/>
  <c r="D42" i="1" s="1"/>
  <c r="G42" i="4" l="1"/>
  <c r="H42" i="4" s="1"/>
  <c r="J42" i="4" s="1"/>
  <c r="D43" i="4" s="1"/>
  <c r="I40" i="3"/>
  <c r="K40" i="3" s="1"/>
  <c r="F40" i="3"/>
  <c r="G39" i="2"/>
  <c r="H39" i="2" s="1"/>
  <c r="J39" i="2" s="1"/>
  <c r="D40" i="2" s="1"/>
  <c r="I42" i="1"/>
  <c r="K42" i="1" s="1"/>
  <c r="F42" i="1"/>
  <c r="I43" i="4" l="1"/>
  <c r="K43" i="4" s="1"/>
  <c r="F43" i="4"/>
  <c r="G40" i="3"/>
  <c r="H40" i="3" s="1"/>
  <c r="J40" i="3" s="1"/>
  <c r="D41" i="3" s="1"/>
  <c r="F40" i="2"/>
  <c r="I40" i="2"/>
  <c r="K40" i="2" s="1"/>
  <c r="G42" i="1"/>
  <c r="H42" i="1" s="1"/>
  <c r="J42" i="1" s="1"/>
  <c r="D43" i="1" s="1"/>
  <c r="G43" i="4" l="1"/>
  <c r="H43" i="4" s="1"/>
  <c r="J43" i="4" s="1"/>
  <c r="D44" i="4" s="1"/>
  <c r="F41" i="3"/>
  <c r="I41" i="3"/>
  <c r="K41" i="3" s="1"/>
  <c r="G40" i="2"/>
  <c r="H40" i="2" s="1"/>
  <c r="J40" i="2" s="1"/>
  <c r="D41" i="2" s="1"/>
  <c r="I43" i="1"/>
  <c r="K43" i="1" s="1"/>
  <c r="F43" i="1"/>
  <c r="I44" i="4" l="1"/>
  <c r="K44" i="4" s="1"/>
  <c r="F44" i="4"/>
  <c r="G41" i="3"/>
  <c r="H41" i="3" s="1"/>
  <c r="J41" i="3" s="1"/>
  <c r="D42" i="3" s="1"/>
  <c r="I41" i="2"/>
  <c r="K41" i="2" s="1"/>
  <c r="F41" i="2"/>
  <c r="G43" i="1"/>
  <c r="H43" i="1" s="1"/>
  <c r="J43" i="1" s="1"/>
  <c r="D44" i="1" s="1"/>
  <c r="G44" i="4" l="1"/>
  <c r="H44" i="4" s="1"/>
  <c r="J44" i="4" s="1"/>
  <c r="D45" i="4" s="1"/>
  <c r="I42" i="3"/>
  <c r="K42" i="3" s="1"/>
  <c r="F42" i="3"/>
  <c r="G41" i="2"/>
  <c r="H41" i="2" s="1"/>
  <c r="J41" i="2" s="1"/>
  <c r="D42" i="2" s="1"/>
  <c r="I44" i="1"/>
  <c r="K44" i="1" s="1"/>
  <c r="F44" i="1"/>
  <c r="I45" i="4" l="1"/>
  <c r="K45" i="4" s="1"/>
  <c r="F45" i="4"/>
  <c r="G42" i="3"/>
  <c r="H42" i="3" s="1"/>
  <c r="J42" i="3" s="1"/>
  <c r="D43" i="3" s="1"/>
  <c r="I42" i="2"/>
  <c r="K42" i="2" s="1"/>
  <c r="F42" i="2"/>
  <c r="G44" i="1"/>
  <c r="H44" i="1" s="1"/>
  <c r="J44" i="1" s="1"/>
  <c r="D45" i="1" s="1"/>
  <c r="G45" i="4" l="1"/>
  <c r="H45" i="4" s="1"/>
  <c r="J45" i="4" s="1"/>
  <c r="D46" i="4" s="1"/>
  <c r="F43" i="3"/>
  <c r="I43" i="3"/>
  <c r="K43" i="3" s="1"/>
  <c r="G42" i="2"/>
  <c r="H42" i="2" s="1"/>
  <c r="J42" i="2" s="1"/>
  <c r="D43" i="2" s="1"/>
  <c r="I45" i="1"/>
  <c r="K45" i="1" s="1"/>
  <c r="F45" i="1"/>
  <c r="I46" i="4" l="1"/>
  <c r="K46" i="4" s="1"/>
  <c r="F46" i="4"/>
  <c r="G43" i="3"/>
  <c r="H43" i="3" s="1"/>
  <c r="J43" i="3" s="1"/>
  <c r="D44" i="3" s="1"/>
  <c r="I43" i="2"/>
  <c r="K43" i="2" s="1"/>
  <c r="F43" i="2"/>
  <c r="G45" i="1"/>
  <c r="H45" i="1" s="1"/>
  <c r="J45" i="1" s="1"/>
  <c r="D46" i="1" s="1"/>
  <c r="G46" i="4" l="1"/>
  <c r="H46" i="4" s="1"/>
  <c r="J46" i="4" s="1"/>
  <c r="D47" i="4" s="1"/>
  <c r="I44" i="3"/>
  <c r="K44" i="3" s="1"/>
  <c r="F44" i="3"/>
  <c r="G43" i="2"/>
  <c r="H43" i="2" s="1"/>
  <c r="J43" i="2" s="1"/>
  <c r="D44" i="2" s="1"/>
  <c r="F46" i="1"/>
  <c r="I46" i="1"/>
  <c r="K46" i="1" s="1"/>
  <c r="I47" i="4" l="1"/>
  <c r="K47" i="4" s="1"/>
  <c r="F47" i="4"/>
  <c r="G44" i="3"/>
  <c r="H44" i="3" s="1"/>
  <c r="J44" i="3" s="1"/>
  <c r="D45" i="3" s="1"/>
  <c r="I44" i="2"/>
  <c r="K44" i="2" s="1"/>
  <c r="F44" i="2"/>
  <c r="G46" i="1"/>
  <c r="H46" i="1" s="1"/>
  <c r="J46" i="1" s="1"/>
  <c r="D47" i="1" s="1"/>
  <c r="G47" i="4" l="1"/>
  <c r="H47" i="4" s="1"/>
  <c r="J47" i="4" s="1"/>
  <c r="D48" i="4" s="1"/>
  <c r="I45" i="3"/>
  <c r="K45" i="3" s="1"/>
  <c r="F45" i="3"/>
  <c r="G44" i="2"/>
  <c r="H44" i="2" s="1"/>
  <c r="J44" i="2" s="1"/>
  <c r="D45" i="2" s="1"/>
  <c r="I47" i="1"/>
  <c r="K47" i="1" s="1"/>
  <c r="F47" i="1"/>
  <c r="I48" i="4" l="1"/>
  <c r="K48" i="4" s="1"/>
  <c r="F48" i="4"/>
  <c r="G45" i="3"/>
  <c r="H45" i="3" s="1"/>
  <c r="J45" i="3" s="1"/>
  <c r="D46" i="3" s="1"/>
  <c r="I45" i="2"/>
  <c r="K45" i="2" s="1"/>
  <c r="F45" i="2"/>
  <c r="G47" i="1"/>
  <c r="H47" i="1" s="1"/>
  <c r="J47" i="1" s="1"/>
  <c r="D48" i="1" s="1"/>
  <c r="G48" i="4" l="1"/>
  <c r="H48" i="4" s="1"/>
  <c r="J48" i="4" s="1"/>
  <c r="D49" i="4" s="1"/>
  <c r="I46" i="3"/>
  <c r="K46" i="3" s="1"/>
  <c r="F46" i="3"/>
  <c r="G45" i="2"/>
  <c r="H45" i="2" s="1"/>
  <c r="J45" i="2" s="1"/>
  <c r="D46" i="2" s="1"/>
  <c r="F48" i="1"/>
  <c r="I48" i="1"/>
  <c r="K48" i="1" s="1"/>
  <c r="F49" i="4" l="1"/>
  <c r="I49" i="4"/>
  <c r="K49" i="4" s="1"/>
  <c r="G46" i="3"/>
  <c r="H46" i="3" s="1"/>
  <c r="J46" i="3" s="1"/>
  <c r="D47" i="3" s="1"/>
  <c r="I46" i="2"/>
  <c r="K46" i="2" s="1"/>
  <c r="F46" i="2"/>
  <c r="G48" i="1"/>
  <c r="H48" i="1" s="1"/>
  <c r="J48" i="1" s="1"/>
  <c r="D49" i="1" s="1"/>
  <c r="G49" i="4" l="1"/>
  <c r="H49" i="4" s="1"/>
  <c r="J49" i="4" s="1"/>
  <c r="D50" i="4" s="1"/>
  <c r="I47" i="3"/>
  <c r="K47" i="3" s="1"/>
  <c r="F47" i="3"/>
  <c r="G46" i="2"/>
  <c r="H46" i="2" s="1"/>
  <c r="J46" i="2" s="1"/>
  <c r="D47" i="2" s="1"/>
  <c r="I49" i="1"/>
  <c r="K49" i="1" s="1"/>
  <c r="F49" i="1"/>
  <c r="I50" i="4" l="1"/>
  <c r="K50" i="4" s="1"/>
  <c r="F50" i="4"/>
  <c r="G47" i="3"/>
  <c r="H47" i="3" s="1"/>
  <c r="J47" i="3" s="1"/>
  <c r="D48" i="3" s="1"/>
  <c r="F47" i="2"/>
  <c r="I47" i="2"/>
  <c r="K47" i="2" s="1"/>
  <c r="G49" i="1"/>
  <c r="H49" i="1" s="1"/>
  <c r="J49" i="1" s="1"/>
  <c r="D50" i="1" s="1"/>
  <c r="G50" i="4" l="1"/>
  <c r="H50" i="4" s="1"/>
  <c r="J50" i="4" s="1"/>
  <c r="D51" i="4" s="1"/>
  <c r="I48" i="3"/>
  <c r="K48" i="3" s="1"/>
  <c r="F48" i="3"/>
  <c r="G47" i="2"/>
  <c r="H47" i="2" s="1"/>
  <c r="J47" i="2" s="1"/>
  <c r="D48" i="2" s="1"/>
  <c r="I50" i="1"/>
  <c r="K50" i="1" s="1"/>
  <c r="F50" i="1"/>
  <c r="I51" i="4" l="1"/>
  <c r="K51" i="4" s="1"/>
  <c r="F51" i="4"/>
  <c r="G48" i="3"/>
  <c r="H48" i="3" s="1"/>
  <c r="J48" i="3" s="1"/>
  <c r="D49" i="3" s="1"/>
  <c r="I48" i="2"/>
  <c r="K48" i="2" s="1"/>
  <c r="F48" i="2"/>
  <c r="G50" i="1"/>
  <c r="H50" i="1" s="1"/>
  <c r="J50" i="1" s="1"/>
  <c r="D51" i="1" s="1"/>
  <c r="G51" i="4" l="1"/>
  <c r="H51" i="4" s="1"/>
  <c r="J51" i="4" s="1"/>
  <c r="D52" i="4" s="1"/>
  <c r="I49" i="3"/>
  <c r="K49" i="3" s="1"/>
  <c r="F49" i="3"/>
  <c r="G48" i="2"/>
  <c r="H48" i="2" s="1"/>
  <c r="J48" i="2" s="1"/>
  <c r="D49" i="2" s="1"/>
  <c r="I51" i="1"/>
  <c r="K51" i="1" s="1"/>
  <c r="F51" i="1"/>
  <c r="I52" i="4" l="1"/>
  <c r="K52" i="4" s="1"/>
  <c r="F52" i="4"/>
  <c r="G49" i="3"/>
  <c r="H49" i="3" s="1"/>
  <c r="J49" i="3" s="1"/>
  <c r="D50" i="3" s="1"/>
  <c r="I49" i="2"/>
  <c r="K49" i="2" s="1"/>
  <c r="F49" i="2"/>
  <c r="G51" i="1"/>
  <c r="H51" i="1" s="1"/>
  <c r="J51" i="1" s="1"/>
  <c r="D52" i="1" s="1"/>
  <c r="G52" i="4" l="1"/>
  <c r="H52" i="4" s="1"/>
  <c r="J52" i="4" s="1"/>
  <c r="D53" i="4" s="1"/>
  <c r="I50" i="3"/>
  <c r="K50" i="3" s="1"/>
  <c r="F50" i="3"/>
  <c r="G49" i="2"/>
  <c r="H49" i="2" s="1"/>
  <c r="J49" i="2" s="1"/>
  <c r="D50" i="2" s="1"/>
  <c r="F52" i="1"/>
  <c r="I52" i="1"/>
  <c r="K52" i="1" s="1"/>
  <c r="I53" i="4" l="1"/>
  <c r="K53" i="4" s="1"/>
  <c r="F53" i="4"/>
  <c r="G50" i="3"/>
  <c r="H50" i="3" s="1"/>
  <c r="J50" i="3" s="1"/>
  <c r="D51" i="3" s="1"/>
  <c r="I50" i="2"/>
  <c r="K50" i="2" s="1"/>
  <c r="F50" i="2"/>
  <c r="G52" i="1"/>
  <c r="H52" i="1" s="1"/>
  <c r="J52" i="1" s="1"/>
  <c r="D53" i="1" s="1"/>
  <c r="G53" i="4" l="1"/>
  <c r="H53" i="4" s="1"/>
  <c r="J53" i="4" s="1"/>
  <c r="D54" i="4" s="1"/>
  <c r="I51" i="3"/>
  <c r="K51" i="3" s="1"/>
  <c r="F51" i="3"/>
  <c r="G50" i="2"/>
  <c r="H50" i="2" s="1"/>
  <c r="J50" i="2" s="1"/>
  <c r="D51" i="2" s="1"/>
  <c r="I53" i="1"/>
  <c r="K53" i="1" s="1"/>
  <c r="F53" i="1"/>
  <c r="I54" i="4" l="1"/>
  <c r="K54" i="4" s="1"/>
  <c r="F54" i="4"/>
  <c r="G51" i="3"/>
  <c r="H51" i="3" s="1"/>
  <c r="J51" i="3" s="1"/>
  <c r="D52" i="3" s="1"/>
  <c r="I51" i="2"/>
  <c r="K51" i="2" s="1"/>
  <c r="F51" i="2"/>
  <c r="G53" i="1"/>
  <c r="H53" i="1" s="1"/>
  <c r="J53" i="1" s="1"/>
  <c r="D54" i="1" s="1"/>
  <c r="G54" i="4" l="1"/>
  <c r="H54" i="4" s="1"/>
  <c r="J54" i="4" s="1"/>
  <c r="D55" i="4" s="1"/>
  <c r="I52" i="3"/>
  <c r="K52" i="3" s="1"/>
  <c r="F52" i="3"/>
  <c r="G51" i="2"/>
  <c r="H51" i="2" s="1"/>
  <c r="J51" i="2" s="1"/>
  <c r="D52" i="2" s="1"/>
  <c r="I54" i="1"/>
  <c r="K54" i="1" s="1"/>
  <c r="F54" i="1"/>
  <c r="I55" i="4" l="1"/>
  <c r="K55" i="4" s="1"/>
  <c r="F55" i="4"/>
  <c r="G52" i="3"/>
  <c r="H52" i="3" s="1"/>
  <c r="J52" i="3" s="1"/>
  <c r="D53" i="3" s="1"/>
  <c r="I52" i="2"/>
  <c r="K52" i="2" s="1"/>
  <c r="F52" i="2"/>
  <c r="G54" i="1"/>
  <c r="H54" i="1" s="1"/>
  <c r="J54" i="1" s="1"/>
  <c r="D55" i="1" s="1"/>
  <c r="G55" i="4" l="1"/>
  <c r="H55" i="4" s="1"/>
  <c r="J55" i="4" s="1"/>
  <c r="D56" i="4" s="1"/>
  <c r="I53" i="3"/>
  <c r="K53" i="3" s="1"/>
  <c r="F53" i="3"/>
  <c r="G52" i="2"/>
  <c r="H52" i="2" s="1"/>
  <c r="J52" i="2" s="1"/>
  <c r="D53" i="2" s="1"/>
  <c r="I55" i="1"/>
  <c r="K55" i="1" s="1"/>
  <c r="F55" i="1"/>
  <c r="I56" i="4" l="1"/>
  <c r="K56" i="4" s="1"/>
  <c r="F56" i="4"/>
  <c r="G53" i="3"/>
  <c r="H53" i="3" s="1"/>
  <c r="J53" i="3" s="1"/>
  <c r="D54" i="3" s="1"/>
  <c r="F53" i="2"/>
  <c r="I53" i="2"/>
  <c r="K53" i="2" s="1"/>
  <c r="G55" i="1"/>
  <c r="H55" i="1" s="1"/>
  <c r="J55" i="1" s="1"/>
  <c r="D56" i="1" s="1"/>
  <c r="G56" i="4" l="1"/>
  <c r="H56" i="4" s="1"/>
  <c r="J56" i="4" s="1"/>
  <c r="D57" i="4" s="1"/>
  <c r="I54" i="3"/>
  <c r="K54" i="3" s="1"/>
  <c r="F54" i="3"/>
  <c r="G53" i="2"/>
  <c r="H53" i="2" s="1"/>
  <c r="J53" i="2" s="1"/>
  <c r="D54" i="2" s="1"/>
  <c r="I56" i="1"/>
  <c r="K56" i="1" s="1"/>
  <c r="F56" i="1"/>
  <c r="I57" i="4" l="1"/>
  <c r="K57" i="4" s="1"/>
  <c r="F57" i="4"/>
  <c r="G54" i="3"/>
  <c r="H54" i="3" s="1"/>
  <c r="J54" i="3" s="1"/>
  <c r="D55" i="3" s="1"/>
  <c r="I54" i="2"/>
  <c r="K54" i="2" s="1"/>
  <c r="F54" i="2"/>
  <c r="G56" i="1"/>
  <c r="H56" i="1" s="1"/>
  <c r="J56" i="1" s="1"/>
  <c r="D57" i="1" s="1"/>
  <c r="G57" i="4" l="1"/>
  <c r="H57" i="4" s="1"/>
  <c r="J57" i="4" s="1"/>
  <c r="D58" i="4" s="1"/>
  <c r="I55" i="3"/>
  <c r="K55" i="3" s="1"/>
  <c r="F55" i="3"/>
  <c r="G54" i="2"/>
  <c r="H54" i="2" s="1"/>
  <c r="J54" i="2" s="1"/>
  <c r="D55" i="2" s="1"/>
  <c r="I57" i="1"/>
  <c r="K57" i="1" s="1"/>
  <c r="F57" i="1"/>
  <c r="I58" i="4" l="1"/>
  <c r="K58" i="4" s="1"/>
  <c r="F58" i="4"/>
  <c r="G55" i="3"/>
  <c r="H55" i="3" s="1"/>
  <c r="J55" i="3" s="1"/>
  <c r="D56" i="3" s="1"/>
  <c r="I55" i="2"/>
  <c r="K55" i="2" s="1"/>
  <c r="F55" i="2"/>
  <c r="G57" i="1"/>
  <c r="H57" i="1" s="1"/>
  <c r="J57" i="1" s="1"/>
  <c r="D58" i="1" s="1"/>
  <c r="G58" i="4" l="1"/>
  <c r="H58" i="4" s="1"/>
  <c r="J58" i="4" s="1"/>
  <c r="D59" i="4" s="1"/>
  <c r="I56" i="3"/>
  <c r="K56" i="3" s="1"/>
  <c r="F56" i="3"/>
  <c r="G55" i="2"/>
  <c r="H55" i="2" s="1"/>
  <c r="J55" i="2" s="1"/>
  <c r="D56" i="2" s="1"/>
  <c r="F58" i="1"/>
  <c r="I58" i="1"/>
  <c r="K58" i="1" s="1"/>
  <c r="F59" i="4" l="1"/>
  <c r="I59" i="4"/>
  <c r="K59" i="4" s="1"/>
  <c r="G56" i="3"/>
  <c r="H56" i="3" s="1"/>
  <c r="J56" i="3" s="1"/>
  <c r="D57" i="3" s="1"/>
  <c r="I56" i="2"/>
  <c r="K56" i="2" s="1"/>
  <c r="F56" i="2"/>
  <c r="G58" i="1"/>
  <c r="H58" i="1" s="1"/>
  <c r="J58" i="1" s="1"/>
  <c r="D59" i="1" s="1"/>
  <c r="G59" i="4" l="1"/>
  <c r="H59" i="4" s="1"/>
  <c r="J59" i="4" s="1"/>
  <c r="D60" i="4" s="1"/>
  <c r="I57" i="3"/>
  <c r="K57" i="3" s="1"/>
  <c r="F57" i="3"/>
  <c r="G56" i="2"/>
  <c r="H56" i="2" s="1"/>
  <c r="J56" i="2" s="1"/>
  <c r="D57" i="2" s="1"/>
  <c r="I59" i="1"/>
  <c r="K59" i="1" s="1"/>
  <c r="F59" i="1"/>
  <c r="I60" i="4" l="1"/>
  <c r="K60" i="4" s="1"/>
  <c r="F60" i="4"/>
  <c r="G57" i="3"/>
  <c r="H57" i="3" s="1"/>
  <c r="J57" i="3" s="1"/>
  <c r="D58" i="3" s="1"/>
  <c r="I57" i="2"/>
  <c r="K57" i="2" s="1"/>
  <c r="F57" i="2"/>
  <c r="G59" i="1"/>
  <c r="H59" i="1" s="1"/>
  <c r="J59" i="1" s="1"/>
  <c r="D60" i="1" s="1"/>
  <c r="G60" i="4" l="1"/>
  <c r="H60" i="4" s="1"/>
  <c r="J60" i="4" s="1"/>
  <c r="D61" i="4" s="1"/>
  <c r="I58" i="3"/>
  <c r="K58" i="3" s="1"/>
  <c r="F58" i="3"/>
  <c r="G57" i="2"/>
  <c r="H57" i="2" s="1"/>
  <c r="J57" i="2" s="1"/>
  <c r="D58" i="2" s="1"/>
  <c r="I60" i="1"/>
  <c r="K60" i="1" s="1"/>
  <c r="F60" i="1"/>
  <c r="F61" i="4" l="1"/>
  <c r="I61" i="4"/>
  <c r="K61" i="4" s="1"/>
  <c r="G58" i="3"/>
  <c r="H58" i="3" s="1"/>
  <c r="J58" i="3" s="1"/>
  <c r="D59" i="3" s="1"/>
  <c r="I58" i="2"/>
  <c r="K58" i="2" s="1"/>
  <c r="F58" i="2"/>
  <c r="G60" i="1"/>
  <c r="H60" i="1" s="1"/>
  <c r="J60" i="1" s="1"/>
  <c r="D61" i="1" s="1"/>
  <c r="G61" i="4" l="1"/>
  <c r="H61" i="4" s="1"/>
  <c r="J61" i="4" s="1"/>
  <c r="D62" i="4" s="1"/>
  <c r="I59" i="3"/>
  <c r="K59" i="3" s="1"/>
  <c r="F59" i="3"/>
  <c r="G58" i="2"/>
  <c r="H58" i="2" s="1"/>
  <c r="J58" i="2" s="1"/>
  <c r="D59" i="2" s="1"/>
  <c r="I61" i="1"/>
  <c r="K61" i="1" s="1"/>
  <c r="F61" i="1"/>
  <c r="I62" i="4" l="1"/>
  <c r="K62" i="4" s="1"/>
  <c r="F62" i="4"/>
  <c r="G59" i="3"/>
  <c r="H59" i="3" s="1"/>
  <c r="J59" i="3" s="1"/>
  <c r="D60" i="3" s="1"/>
  <c r="I59" i="2"/>
  <c r="K59" i="2" s="1"/>
  <c r="F59" i="2"/>
  <c r="G61" i="1"/>
  <c r="H61" i="1" s="1"/>
  <c r="J61" i="1" s="1"/>
  <c r="D62" i="1" s="1"/>
  <c r="G62" i="4" l="1"/>
  <c r="H62" i="4" s="1"/>
  <c r="J62" i="4" s="1"/>
  <c r="D63" i="4" s="1"/>
  <c r="I60" i="3"/>
  <c r="K60" i="3" s="1"/>
  <c r="F60" i="3"/>
  <c r="G59" i="2"/>
  <c r="H59" i="2" s="1"/>
  <c r="J59" i="2" s="1"/>
  <c r="D60" i="2" s="1"/>
  <c r="I62" i="1"/>
  <c r="K62" i="1" s="1"/>
  <c r="F62" i="1"/>
  <c r="F63" i="4" l="1"/>
  <c r="I63" i="4"/>
  <c r="K63" i="4" s="1"/>
  <c r="G60" i="3"/>
  <c r="H60" i="3" s="1"/>
  <c r="J60" i="3" s="1"/>
  <c r="D61" i="3" s="1"/>
  <c r="I60" i="2"/>
  <c r="K60" i="2" s="1"/>
  <c r="F60" i="2"/>
  <c r="G62" i="1"/>
  <c r="H62" i="1" s="1"/>
  <c r="J62" i="1" s="1"/>
  <c r="D63" i="1" s="1"/>
  <c r="G63" i="4" l="1"/>
  <c r="H63" i="4" s="1"/>
  <c r="J63" i="4" s="1"/>
  <c r="D64" i="4" s="1"/>
  <c r="I61" i="3"/>
  <c r="K61" i="3" s="1"/>
  <c r="F61" i="3"/>
  <c r="G60" i="2"/>
  <c r="H60" i="2" s="1"/>
  <c r="J60" i="2" s="1"/>
  <c r="D61" i="2" s="1"/>
  <c r="I63" i="1"/>
  <c r="K63" i="1" s="1"/>
  <c r="F63" i="1"/>
  <c r="I64" i="4" l="1"/>
  <c r="K64" i="4" s="1"/>
  <c r="F64" i="4"/>
  <c r="G61" i="3"/>
  <c r="H61" i="3" s="1"/>
  <c r="J61" i="3" s="1"/>
  <c r="D62" i="3" s="1"/>
  <c r="I61" i="2"/>
  <c r="K61" i="2" s="1"/>
  <c r="F61" i="2"/>
  <c r="G63" i="1"/>
  <c r="H63" i="1" s="1"/>
  <c r="J63" i="1" s="1"/>
  <c r="D64" i="1" s="1"/>
  <c r="G64" i="4" l="1"/>
  <c r="H64" i="4" s="1"/>
  <c r="J64" i="4" s="1"/>
  <c r="D65" i="4" s="1"/>
  <c r="I62" i="3"/>
  <c r="K62" i="3" s="1"/>
  <c r="F62" i="3"/>
  <c r="G61" i="2"/>
  <c r="H61" i="2" s="1"/>
  <c r="J61" i="2" s="1"/>
  <c r="D62" i="2" s="1"/>
  <c r="I64" i="1"/>
  <c r="K64" i="1" s="1"/>
  <c r="F64" i="1"/>
  <c r="I65" i="4" l="1"/>
  <c r="K65" i="4" s="1"/>
  <c r="F65" i="4"/>
  <c r="G62" i="3"/>
  <c r="H62" i="3" s="1"/>
  <c r="J62" i="3" s="1"/>
  <c r="D63" i="3" s="1"/>
  <c r="I62" i="2"/>
  <c r="K62" i="2" s="1"/>
  <c r="F62" i="2"/>
  <c r="G64" i="1"/>
  <c r="H64" i="1" s="1"/>
  <c r="J64" i="1" s="1"/>
  <c r="D65" i="1" s="1"/>
  <c r="G65" i="4" l="1"/>
  <c r="H65" i="4" s="1"/>
  <c r="J65" i="4" s="1"/>
  <c r="D66" i="4" s="1"/>
  <c r="I63" i="3"/>
  <c r="K63" i="3" s="1"/>
  <c r="F63" i="3"/>
  <c r="G62" i="2"/>
  <c r="H62" i="2" s="1"/>
  <c r="J62" i="2" s="1"/>
  <c r="D63" i="2" s="1"/>
  <c r="I65" i="1"/>
  <c r="K65" i="1" s="1"/>
  <c r="F65" i="1"/>
  <c r="I66" i="4" l="1"/>
  <c r="K66" i="4" s="1"/>
  <c r="F66" i="4"/>
  <c r="G63" i="3"/>
  <c r="H63" i="3" s="1"/>
  <c r="J63" i="3" s="1"/>
  <c r="D64" i="3" s="1"/>
  <c r="I63" i="2"/>
  <c r="K63" i="2" s="1"/>
  <c r="F63" i="2"/>
  <c r="G65" i="1"/>
  <c r="H65" i="1" s="1"/>
  <c r="J65" i="1" s="1"/>
  <c r="D66" i="1" s="1"/>
  <c r="G66" i="4" l="1"/>
  <c r="H66" i="4" s="1"/>
  <c r="J66" i="4"/>
  <c r="D67" i="4" s="1"/>
  <c r="I64" i="3"/>
  <c r="K64" i="3" s="1"/>
  <c r="F64" i="3"/>
  <c r="G63" i="2"/>
  <c r="H63" i="2" s="1"/>
  <c r="J63" i="2" s="1"/>
  <c r="D64" i="2" s="1"/>
  <c r="I66" i="1"/>
  <c r="K66" i="1" s="1"/>
  <c r="F66" i="1"/>
  <c r="F67" i="4" l="1"/>
  <c r="I67" i="4"/>
  <c r="K67" i="4" s="1"/>
  <c r="G64" i="3"/>
  <c r="H64" i="3" s="1"/>
  <c r="J64" i="3" s="1"/>
  <c r="D65" i="3" s="1"/>
  <c r="I64" i="2"/>
  <c r="K64" i="2" s="1"/>
  <c r="F64" i="2"/>
  <c r="G66" i="1"/>
  <c r="H66" i="1" s="1"/>
  <c r="J66" i="1" s="1"/>
  <c r="D67" i="1" s="1"/>
  <c r="G67" i="4" l="1"/>
  <c r="H67" i="4" s="1"/>
  <c r="J67" i="4" s="1"/>
  <c r="D68" i="4" s="1"/>
  <c r="I65" i="3"/>
  <c r="K65" i="3" s="1"/>
  <c r="F65" i="3"/>
  <c r="G64" i="2"/>
  <c r="H64" i="2" s="1"/>
  <c r="J64" i="2" s="1"/>
  <c r="D65" i="2" s="1"/>
  <c r="I67" i="1"/>
  <c r="K67" i="1" s="1"/>
  <c r="F67" i="1"/>
  <c r="F68" i="4" l="1"/>
  <c r="I68" i="4"/>
  <c r="K68" i="4" s="1"/>
  <c r="G65" i="3"/>
  <c r="H65" i="3" s="1"/>
  <c r="J65" i="3" s="1"/>
  <c r="D66" i="3" s="1"/>
  <c r="F65" i="2"/>
  <c r="I65" i="2"/>
  <c r="K65" i="2" s="1"/>
  <c r="G67" i="1"/>
  <c r="H67" i="1" s="1"/>
  <c r="J67" i="1" s="1"/>
  <c r="D68" i="1" s="1"/>
  <c r="G68" i="4" l="1"/>
  <c r="H68" i="4" s="1"/>
  <c r="J68" i="4" s="1"/>
  <c r="D69" i="4" s="1"/>
  <c r="I66" i="3"/>
  <c r="K66" i="3" s="1"/>
  <c r="F66" i="3"/>
  <c r="G65" i="2"/>
  <c r="H65" i="2" s="1"/>
  <c r="J65" i="2" s="1"/>
  <c r="D66" i="2" s="1"/>
  <c r="F68" i="1"/>
  <c r="I68" i="1"/>
  <c r="K68" i="1" s="1"/>
  <c r="F69" i="4" l="1"/>
  <c r="I69" i="4"/>
  <c r="K69" i="4" s="1"/>
  <c r="G66" i="3"/>
  <c r="H66" i="3" s="1"/>
  <c r="J66" i="3" s="1"/>
  <c r="D67" i="3" s="1"/>
  <c r="I66" i="2"/>
  <c r="K66" i="2" s="1"/>
  <c r="F66" i="2"/>
  <c r="G68" i="1"/>
  <c r="H68" i="1" s="1"/>
  <c r="J68" i="1" s="1"/>
  <c r="D69" i="1" s="1"/>
  <c r="G69" i="4" l="1"/>
  <c r="H69" i="4" s="1"/>
  <c r="J69" i="4" s="1"/>
  <c r="D70" i="4" s="1"/>
  <c r="I67" i="3"/>
  <c r="K67" i="3" s="1"/>
  <c r="F67" i="3"/>
  <c r="G66" i="2"/>
  <c r="H66" i="2" s="1"/>
  <c r="J66" i="2" s="1"/>
  <c r="D67" i="2" s="1"/>
  <c r="I69" i="1"/>
  <c r="K69" i="1" s="1"/>
  <c r="F69" i="1"/>
  <c r="I70" i="4" l="1"/>
  <c r="K70" i="4" s="1"/>
  <c r="F70" i="4"/>
  <c r="G67" i="3"/>
  <c r="H67" i="3" s="1"/>
  <c r="J67" i="3" s="1"/>
  <c r="D68" i="3" s="1"/>
  <c r="I67" i="2"/>
  <c r="K67" i="2" s="1"/>
  <c r="F67" i="2"/>
  <c r="G69" i="1"/>
  <c r="H69" i="1" s="1"/>
  <c r="J69" i="1" s="1"/>
  <c r="D70" i="1" s="1"/>
  <c r="G70" i="4" l="1"/>
  <c r="H70" i="4" s="1"/>
  <c r="J70" i="4" s="1"/>
  <c r="D71" i="4" s="1"/>
  <c r="I68" i="3"/>
  <c r="K68" i="3" s="1"/>
  <c r="F68" i="3"/>
  <c r="G67" i="2"/>
  <c r="H67" i="2" s="1"/>
  <c r="J67" i="2" s="1"/>
  <c r="D68" i="2" s="1"/>
  <c r="I70" i="1"/>
  <c r="K70" i="1" s="1"/>
  <c r="F70" i="1"/>
  <c r="F71" i="4" l="1"/>
  <c r="I71" i="4"/>
  <c r="K71" i="4" s="1"/>
  <c r="G68" i="3"/>
  <c r="H68" i="3" s="1"/>
  <c r="J68" i="3" s="1"/>
  <c r="D69" i="3" s="1"/>
  <c r="F68" i="2"/>
  <c r="I68" i="2"/>
  <c r="K68" i="2" s="1"/>
  <c r="G70" i="1"/>
  <c r="H70" i="1" s="1"/>
  <c r="J70" i="1" s="1"/>
  <c r="D71" i="1" s="1"/>
  <c r="G71" i="4" l="1"/>
  <c r="H71" i="4" s="1"/>
  <c r="J71" i="4" s="1"/>
  <c r="D72" i="4" s="1"/>
  <c r="I69" i="3"/>
  <c r="K69" i="3" s="1"/>
  <c r="F69" i="3"/>
  <c r="G68" i="2"/>
  <c r="H68" i="2" s="1"/>
  <c r="J68" i="2" s="1"/>
  <c r="D69" i="2" s="1"/>
  <c r="I71" i="1"/>
  <c r="K71" i="1" s="1"/>
  <c r="F71" i="1"/>
  <c r="I72" i="4" l="1"/>
  <c r="K72" i="4" s="1"/>
  <c r="F72" i="4"/>
  <c r="G69" i="3"/>
  <c r="H69" i="3" s="1"/>
  <c r="J69" i="3" s="1"/>
  <c r="D70" i="3" s="1"/>
  <c r="I69" i="2"/>
  <c r="K69" i="2" s="1"/>
  <c r="F69" i="2"/>
  <c r="G71" i="1"/>
  <c r="H71" i="1" s="1"/>
  <c r="J71" i="1" s="1"/>
  <c r="D72" i="1" s="1"/>
  <c r="G72" i="4" l="1"/>
  <c r="H72" i="4" s="1"/>
  <c r="J72" i="4" s="1"/>
  <c r="D73" i="4" s="1"/>
  <c r="I70" i="3"/>
  <c r="K70" i="3" s="1"/>
  <c r="F70" i="3"/>
  <c r="G69" i="2"/>
  <c r="H69" i="2" s="1"/>
  <c r="J69" i="2" s="1"/>
  <c r="D70" i="2" s="1"/>
  <c r="F72" i="1"/>
  <c r="I72" i="1"/>
  <c r="K72" i="1" s="1"/>
  <c r="F73" i="4" l="1"/>
  <c r="I73" i="4"/>
  <c r="K73" i="4" s="1"/>
  <c r="G70" i="3"/>
  <c r="H70" i="3" s="1"/>
  <c r="J70" i="3" s="1"/>
  <c r="D71" i="3" s="1"/>
  <c r="I70" i="2"/>
  <c r="K70" i="2" s="1"/>
  <c r="F70" i="2"/>
  <c r="G72" i="1"/>
  <c r="H72" i="1" s="1"/>
  <c r="J72" i="1" s="1"/>
  <c r="D73" i="1" s="1"/>
  <c r="G73" i="4" l="1"/>
  <c r="H73" i="4" s="1"/>
  <c r="J73" i="4" s="1"/>
  <c r="D74" i="4" s="1"/>
  <c r="I71" i="3"/>
  <c r="K71" i="3" s="1"/>
  <c r="F71" i="3"/>
  <c r="G70" i="2"/>
  <c r="H70" i="2" s="1"/>
  <c r="J70" i="2" s="1"/>
  <c r="D71" i="2" s="1"/>
  <c r="I73" i="1"/>
  <c r="K73" i="1" s="1"/>
  <c r="F73" i="1"/>
  <c r="I74" i="4" l="1"/>
  <c r="K74" i="4" s="1"/>
  <c r="F74" i="4"/>
  <c r="G71" i="3"/>
  <c r="H71" i="3" s="1"/>
  <c r="J71" i="3" s="1"/>
  <c r="D72" i="3" s="1"/>
  <c r="F71" i="2"/>
  <c r="I71" i="2"/>
  <c r="K71" i="2" s="1"/>
  <c r="G73" i="1"/>
  <c r="H73" i="1" s="1"/>
  <c r="J73" i="1" s="1"/>
  <c r="D74" i="1" s="1"/>
  <c r="G74" i="4" l="1"/>
  <c r="H74" i="4" s="1"/>
  <c r="J74" i="4" s="1"/>
  <c r="D75" i="4" s="1"/>
  <c r="I72" i="3"/>
  <c r="K72" i="3" s="1"/>
  <c r="F72" i="3"/>
  <c r="G71" i="2"/>
  <c r="H71" i="2" s="1"/>
  <c r="J71" i="2" s="1"/>
  <c r="D72" i="2" s="1"/>
  <c r="I74" i="1"/>
  <c r="K74" i="1" s="1"/>
  <c r="F74" i="1"/>
  <c r="I75" i="4" l="1"/>
  <c r="K75" i="4" s="1"/>
  <c r="F75" i="4"/>
  <c r="G72" i="3"/>
  <c r="H72" i="3" s="1"/>
  <c r="J72" i="3" s="1"/>
  <c r="D73" i="3" s="1"/>
  <c r="I72" i="2"/>
  <c r="K72" i="2" s="1"/>
  <c r="F72" i="2"/>
  <c r="G74" i="1"/>
  <c r="H74" i="1" s="1"/>
  <c r="J74" i="1" s="1"/>
  <c r="D75" i="1" s="1"/>
  <c r="G75" i="4" l="1"/>
  <c r="H75" i="4" s="1"/>
  <c r="J75" i="4" s="1"/>
  <c r="D76" i="4" s="1"/>
  <c r="I73" i="3"/>
  <c r="K73" i="3" s="1"/>
  <c r="F73" i="3"/>
  <c r="G72" i="2"/>
  <c r="H72" i="2" s="1"/>
  <c r="J72" i="2" s="1"/>
  <c r="D73" i="2" s="1"/>
  <c r="I75" i="1"/>
  <c r="K75" i="1" s="1"/>
  <c r="F75" i="1"/>
  <c r="I76" i="4" l="1"/>
  <c r="K76" i="4" s="1"/>
  <c r="F76" i="4"/>
  <c r="G73" i="3"/>
  <c r="H73" i="3" s="1"/>
  <c r="J73" i="3" s="1"/>
  <c r="D74" i="3" s="1"/>
  <c r="I73" i="2"/>
  <c r="K73" i="2" s="1"/>
  <c r="F73" i="2"/>
  <c r="G75" i="1"/>
  <c r="H75" i="1" s="1"/>
  <c r="J75" i="1" s="1"/>
  <c r="D76" i="1" s="1"/>
  <c r="G76" i="4" l="1"/>
  <c r="H76" i="4" s="1"/>
  <c r="J76" i="4" s="1"/>
  <c r="D77" i="4" s="1"/>
  <c r="I74" i="3"/>
  <c r="K74" i="3" s="1"/>
  <c r="F74" i="3"/>
  <c r="G73" i="2"/>
  <c r="H73" i="2" s="1"/>
  <c r="J73" i="2" s="1"/>
  <c r="D74" i="2" s="1"/>
  <c r="I76" i="1"/>
  <c r="K76" i="1" s="1"/>
  <c r="F76" i="1"/>
  <c r="I77" i="4" l="1"/>
  <c r="K77" i="4" s="1"/>
  <c r="F77" i="4"/>
  <c r="G74" i="3"/>
  <c r="H74" i="3" s="1"/>
  <c r="J74" i="3" s="1"/>
  <c r="D75" i="3" s="1"/>
  <c r="I74" i="2"/>
  <c r="K74" i="2" s="1"/>
  <c r="F74" i="2"/>
  <c r="G76" i="1"/>
  <c r="H76" i="1" s="1"/>
  <c r="J76" i="1" s="1"/>
  <c r="D77" i="1" s="1"/>
  <c r="G77" i="4" l="1"/>
  <c r="H77" i="4" s="1"/>
  <c r="J77" i="4" s="1"/>
  <c r="D78" i="4" s="1"/>
  <c r="I75" i="3"/>
  <c r="K75" i="3" s="1"/>
  <c r="F75" i="3"/>
  <c r="G74" i="2"/>
  <c r="H74" i="2" s="1"/>
  <c r="J74" i="2" s="1"/>
  <c r="D75" i="2" s="1"/>
  <c r="I77" i="1"/>
  <c r="K77" i="1" s="1"/>
  <c r="F77" i="1"/>
  <c r="I78" i="4" l="1"/>
  <c r="K78" i="4" s="1"/>
  <c r="F78" i="4"/>
  <c r="G75" i="3"/>
  <c r="H75" i="3" s="1"/>
  <c r="J75" i="3" s="1"/>
  <c r="D76" i="3" s="1"/>
  <c r="I75" i="2"/>
  <c r="K75" i="2" s="1"/>
  <c r="F75" i="2"/>
  <c r="G77" i="1"/>
  <c r="H77" i="1" s="1"/>
  <c r="J77" i="1" s="1"/>
  <c r="D78" i="1" s="1"/>
  <c r="G78" i="4" l="1"/>
  <c r="H78" i="4" s="1"/>
  <c r="J78" i="4" s="1"/>
  <c r="D79" i="4" s="1"/>
  <c r="I76" i="3"/>
  <c r="K76" i="3" s="1"/>
  <c r="F76" i="3"/>
  <c r="G75" i="2"/>
  <c r="H75" i="2" s="1"/>
  <c r="J75" i="2" s="1"/>
  <c r="D76" i="2" s="1"/>
  <c r="F78" i="1"/>
  <c r="I78" i="1"/>
  <c r="K78" i="1" s="1"/>
  <c r="I79" i="4" l="1"/>
  <c r="K79" i="4" s="1"/>
  <c r="F79" i="4"/>
  <c r="G76" i="3"/>
  <c r="H76" i="3" s="1"/>
  <c r="J76" i="3" s="1"/>
  <c r="D77" i="3" s="1"/>
  <c r="F76" i="2"/>
  <c r="I76" i="2"/>
  <c r="K76" i="2" s="1"/>
  <c r="G78" i="1"/>
  <c r="H78" i="1" s="1"/>
  <c r="J78" i="1" s="1"/>
  <c r="D79" i="1" s="1"/>
  <c r="G79" i="4" l="1"/>
  <c r="H79" i="4" s="1"/>
  <c r="J79" i="4" s="1"/>
  <c r="D80" i="4" s="1"/>
  <c r="I77" i="3"/>
  <c r="K77" i="3" s="1"/>
  <c r="F77" i="3"/>
  <c r="G76" i="2"/>
  <c r="H76" i="2" s="1"/>
  <c r="J76" i="2" s="1"/>
  <c r="D77" i="2" s="1"/>
  <c r="I79" i="1"/>
  <c r="K79" i="1" s="1"/>
  <c r="F79" i="1"/>
  <c r="I80" i="4" l="1"/>
  <c r="K80" i="4" s="1"/>
  <c r="F80" i="4"/>
  <c r="G77" i="3"/>
  <c r="H77" i="3" s="1"/>
  <c r="J77" i="3" s="1"/>
  <c r="D78" i="3" s="1"/>
  <c r="I77" i="2"/>
  <c r="K77" i="2" s="1"/>
  <c r="F77" i="2"/>
  <c r="G79" i="1"/>
  <c r="H79" i="1" s="1"/>
  <c r="J79" i="1" s="1"/>
  <c r="D80" i="1" s="1"/>
  <c r="G80" i="4" l="1"/>
  <c r="H80" i="4" s="1"/>
  <c r="J80" i="4" s="1"/>
  <c r="D81" i="4" s="1"/>
  <c r="I78" i="3"/>
  <c r="K78" i="3" s="1"/>
  <c r="F78" i="3"/>
  <c r="G77" i="2"/>
  <c r="H77" i="2" s="1"/>
  <c r="J77" i="2" s="1"/>
  <c r="D78" i="2" s="1"/>
  <c r="F80" i="1"/>
  <c r="I80" i="1"/>
  <c r="K80" i="1" s="1"/>
  <c r="F81" i="4" l="1"/>
  <c r="I81" i="4"/>
  <c r="K81" i="4" s="1"/>
  <c r="G78" i="3"/>
  <c r="H78" i="3" s="1"/>
  <c r="J78" i="3" s="1"/>
  <c r="D79" i="3" s="1"/>
  <c r="F78" i="2"/>
  <c r="I78" i="2"/>
  <c r="K78" i="2" s="1"/>
  <c r="G80" i="1"/>
  <c r="H80" i="1" s="1"/>
  <c r="J80" i="1" s="1"/>
  <c r="D81" i="1" s="1"/>
  <c r="G81" i="4" l="1"/>
  <c r="H81" i="4" s="1"/>
  <c r="J81" i="4" s="1"/>
  <c r="D82" i="4" s="1"/>
  <c r="I79" i="3"/>
  <c r="K79" i="3" s="1"/>
  <c r="F79" i="3"/>
  <c r="G78" i="2"/>
  <c r="H78" i="2" s="1"/>
  <c r="J78" i="2" s="1"/>
  <c r="D79" i="2" s="1"/>
  <c r="F81" i="1"/>
  <c r="I81" i="1"/>
  <c r="K81" i="1" s="1"/>
  <c r="I82" i="4" l="1"/>
  <c r="K82" i="4" s="1"/>
  <c r="F82" i="4"/>
  <c r="G79" i="3"/>
  <c r="H79" i="3" s="1"/>
  <c r="J79" i="3" s="1"/>
  <c r="D80" i="3" s="1"/>
  <c r="I79" i="2"/>
  <c r="K79" i="2" s="1"/>
  <c r="F79" i="2"/>
  <c r="G81" i="1"/>
  <c r="H81" i="1" s="1"/>
  <c r="J81" i="1" s="1"/>
  <c r="D82" i="1" s="1"/>
  <c r="G82" i="4" l="1"/>
  <c r="H82" i="4" s="1"/>
  <c r="J82" i="4" s="1"/>
  <c r="D83" i="4" s="1"/>
  <c r="I80" i="3"/>
  <c r="K80" i="3" s="1"/>
  <c r="F80" i="3"/>
  <c r="G79" i="2"/>
  <c r="H79" i="2" s="1"/>
  <c r="J79" i="2" s="1"/>
  <c r="D80" i="2" s="1"/>
  <c r="I82" i="1"/>
  <c r="K82" i="1" s="1"/>
  <c r="F82" i="1"/>
  <c r="I83" i="4" l="1"/>
  <c r="K83" i="4" s="1"/>
  <c r="F83" i="4"/>
  <c r="G80" i="3"/>
  <c r="H80" i="3" s="1"/>
  <c r="J80" i="3" s="1"/>
  <c r="D81" i="3" s="1"/>
  <c r="F80" i="2"/>
  <c r="I80" i="2"/>
  <c r="K80" i="2" s="1"/>
  <c r="G82" i="1"/>
  <c r="H82" i="1" s="1"/>
  <c r="J82" i="1" s="1"/>
  <c r="D83" i="1" s="1"/>
  <c r="G83" i="4" l="1"/>
  <c r="H83" i="4" s="1"/>
  <c r="J83" i="4"/>
  <c r="D84" i="4" s="1"/>
  <c r="I81" i="3"/>
  <c r="K81" i="3" s="1"/>
  <c r="F81" i="3"/>
  <c r="G80" i="2"/>
  <c r="H80" i="2" s="1"/>
  <c r="J80" i="2" s="1"/>
  <c r="D81" i="2" s="1"/>
  <c r="I83" i="1"/>
  <c r="K83" i="1" s="1"/>
  <c r="F83" i="1"/>
  <c r="I84" i="4" l="1"/>
  <c r="K84" i="4" s="1"/>
  <c r="F84" i="4"/>
  <c r="G81" i="3"/>
  <c r="H81" i="3" s="1"/>
  <c r="J81" i="3" s="1"/>
  <c r="D82" i="3" s="1"/>
  <c r="I81" i="2"/>
  <c r="K81" i="2" s="1"/>
  <c r="F81" i="2"/>
  <c r="G83" i="1"/>
  <c r="H83" i="1" s="1"/>
  <c r="J83" i="1" s="1"/>
  <c r="D84" i="1" s="1"/>
  <c r="G84" i="4" l="1"/>
  <c r="H84" i="4" s="1"/>
  <c r="J84" i="4" s="1"/>
  <c r="D85" i="4" s="1"/>
  <c r="I82" i="3"/>
  <c r="K82" i="3" s="1"/>
  <c r="F82" i="3"/>
  <c r="G81" i="2"/>
  <c r="H81" i="2" s="1"/>
  <c r="J81" i="2" s="1"/>
  <c r="D82" i="2" s="1"/>
  <c r="F84" i="1"/>
  <c r="I84" i="1"/>
  <c r="K84" i="1" s="1"/>
  <c r="I85" i="4" l="1"/>
  <c r="K85" i="4" s="1"/>
  <c r="F85" i="4"/>
  <c r="G82" i="3"/>
  <c r="H82" i="3" s="1"/>
  <c r="J82" i="3" s="1"/>
  <c r="D83" i="3" s="1"/>
  <c r="F82" i="2"/>
  <c r="I82" i="2"/>
  <c r="K82" i="2" s="1"/>
  <c r="G84" i="1"/>
  <c r="H84" i="1" s="1"/>
  <c r="J84" i="1" s="1"/>
  <c r="D85" i="1" s="1"/>
  <c r="G85" i="4" l="1"/>
  <c r="H85" i="4" s="1"/>
  <c r="J85" i="4" s="1"/>
  <c r="D86" i="4" s="1"/>
  <c r="F83" i="3"/>
  <c r="I83" i="3"/>
  <c r="K83" i="3" s="1"/>
  <c r="G82" i="2"/>
  <c r="H82" i="2" s="1"/>
  <c r="J82" i="2" s="1"/>
  <c r="D83" i="2" s="1"/>
  <c r="I85" i="1"/>
  <c r="K85" i="1" s="1"/>
  <c r="F85" i="1"/>
  <c r="I86" i="4" l="1"/>
  <c r="K86" i="4" s="1"/>
  <c r="F86" i="4"/>
  <c r="G83" i="3"/>
  <c r="H83" i="3" s="1"/>
  <c r="J83" i="3" s="1"/>
  <c r="D84" i="3" s="1"/>
  <c r="I83" i="2"/>
  <c r="K83" i="2" s="1"/>
  <c r="F83" i="2"/>
  <c r="G85" i="1"/>
  <c r="H85" i="1" s="1"/>
  <c r="J85" i="1" s="1"/>
  <c r="D86" i="1" s="1"/>
  <c r="G86" i="4" l="1"/>
  <c r="H86" i="4" s="1"/>
  <c r="J86" i="4" s="1"/>
  <c r="D87" i="4" s="1"/>
  <c r="I84" i="3"/>
  <c r="K84" i="3" s="1"/>
  <c r="F84" i="3"/>
  <c r="G83" i="2"/>
  <c r="H83" i="2" s="1"/>
  <c r="J83" i="2" s="1"/>
  <c r="D84" i="2" s="1"/>
  <c r="I86" i="1"/>
  <c r="K86" i="1" s="1"/>
  <c r="F86" i="1"/>
  <c r="I87" i="4" l="1"/>
  <c r="K87" i="4" s="1"/>
  <c r="F87" i="4"/>
  <c r="G84" i="3"/>
  <c r="H84" i="3" s="1"/>
  <c r="J84" i="3" s="1"/>
  <c r="D85" i="3" s="1"/>
  <c r="I84" i="2"/>
  <c r="K84" i="2" s="1"/>
  <c r="F84" i="2"/>
  <c r="G86" i="1"/>
  <c r="H86" i="1" s="1"/>
  <c r="J86" i="1" s="1"/>
  <c r="D87" i="1" s="1"/>
  <c r="G87" i="4" l="1"/>
  <c r="H87" i="4" s="1"/>
  <c r="J87" i="4" s="1"/>
  <c r="D88" i="4" s="1"/>
  <c r="I85" i="3"/>
  <c r="K85" i="3" s="1"/>
  <c r="F85" i="3"/>
  <c r="G84" i="2"/>
  <c r="H84" i="2" s="1"/>
  <c r="J84" i="2" s="1"/>
  <c r="D85" i="2" s="1"/>
  <c r="I87" i="1"/>
  <c r="K87" i="1" s="1"/>
  <c r="F87" i="1"/>
  <c r="I88" i="4" l="1"/>
  <c r="K88" i="4" s="1"/>
  <c r="F88" i="4"/>
  <c r="G85" i="3"/>
  <c r="H85" i="3" s="1"/>
  <c r="J85" i="3" s="1"/>
  <c r="D86" i="3" s="1"/>
  <c r="I85" i="2"/>
  <c r="K85" i="2" s="1"/>
  <c r="F85" i="2"/>
  <c r="G87" i="1"/>
  <c r="H87" i="1" s="1"/>
  <c r="J87" i="1" s="1"/>
  <c r="D88" i="1" s="1"/>
  <c r="G88" i="4" l="1"/>
  <c r="H88" i="4" s="1"/>
  <c r="J88" i="4" s="1"/>
  <c r="D89" i="4" s="1"/>
  <c r="I86" i="3"/>
  <c r="K86" i="3" s="1"/>
  <c r="F86" i="3"/>
  <c r="G85" i="2"/>
  <c r="H85" i="2" s="1"/>
  <c r="J85" i="2" s="1"/>
  <c r="D86" i="2" s="1"/>
  <c r="I88" i="1"/>
  <c r="K88" i="1" s="1"/>
  <c r="F88" i="1"/>
  <c r="I89" i="4" l="1"/>
  <c r="K89" i="4" s="1"/>
  <c r="F89" i="4"/>
  <c r="G86" i="3"/>
  <c r="H86" i="3" s="1"/>
  <c r="J86" i="3" s="1"/>
  <c r="D87" i="3" s="1"/>
  <c r="F86" i="2"/>
  <c r="I86" i="2"/>
  <c r="K86" i="2" s="1"/>
  <c r="G88" i="1"/>
  <c r="H88" i="1" s="1"/>
  <c r="J88" i="1" s="1"/>
  <c r="D89" i="1" s="1"/>
  <c r="G89" i="4" l="1"/>
  <c r="H89" i="4" s="1"/>
  <c r="J89" i="4" s="1"/>
  <c r="D90" i="4" s="1"/>
  <c r="I87" i="3"/>
  <c r="K87" i="3" s="1"/>
  <c r="F87" i="3"/>
  <c r="G86" i="2"/>
  <c r="H86" i="2" s="1"/>
  <c r="J86" i="2" s="1"/>
  <c r="D87" i="2" s="1"/>
  <c r="I89" i="1"/>
  <c r="K89" i="1" s="1"/>
  <c r="F89" i="1"/>
  <c r="I90" i="4" l="1"/>
  <c r="K90" i="4" s="1"/>
  <c r="F90" i="4"/>
  <c r="G87" i="3"/>
  <c r="H87" i="3" s="1"/>
  <c r="J87" i="3" s="1"/>
  <c r="D88" i="3" s="1"/>
  <c r="I87" i="2"/>
  <c r="K87" i="2" s="1"/>
  <c r="F87" i="2"/>
  <c r="G89" i="1"/>
  <c r="H89" i="1" s="1"/>
  <c r="J89" i="1" s="1"/>
  <c r="D90" i="1" s="1"/>
  <c r="G90" i="4" l="1"/>
  <c r="H90" i="4" s="1"/>
  <c r="J90" i="4" s="1"/>
  <c r="D91" i="4" s="1"/>
  <c r="I88" i="3"/>
  <c r="K88" i="3" s="1"/>
  <c r="F88" i="3"/>
  <c r="G87" i="2"/>
  <c r="H87" i="2" s="1"/>
  <c r="J87" i="2" s="1"/>
  <c r="D88" i="2" s="1"/>
  <c r="I90" i="1"/>
  <c r="K90" i="1" s="1"/>
  <c r="F90" i="1"/>
  <c r="F91" i="4" l="1"/>
  <c r="I91" i="4"/>
  <c r="K91" i="4" s="1"/>
  <c r="G88" i="3"/>
  <c r="H88" i="3" s="1"/>
  <c r="J88" i="3" s="1"/>
  <c r="D89" i="3" s="1"/>
  <c r="F88" i="2"/>
  <c r="I88" i="2"/>
  <c r="K88" i="2" s="1"/>
  <c r="G90" i="1"/>
  <c r="H90" i="1" s="1"/>
  <c r="J90" i="1" s="1"/>
  <c r="D91" i="1" s="1"/>
  <c r="G91" i="4" l="1"/>
  <c r="H91" i="4" s="1"/>
  <c r="J91" i="4" s="1"/>
  <c r="D92" i="4" s="1"/>
  <c r="F89" i="3"/>
  <c r="I89" i="3"/>
  <c r="K89" i="3" s="1"/>
  <c r="G88" i="2"/>
  <c r="H88" i="2" s="1"/>
  <c r="J88" i="2" s="1"/>
  <c r="D89" i="2" s="1"/>
  <c r="I91" i="1"/>
  <c r="K91" i="1" s="1"/>
  <c r="F91" i="1"/>
  <c r="F92" i="4" l="1"/>
  <c r="I92" i="4"/>
  <c r="K92" i="4" s="1"/>
  <c r="G89" i="3"/>
  <c r="H89" i="3" s="1"/>
  <c r="J89" i="3" s="1"/>
  <c r="D90" i="3" s="1"/>
  <c r="I89" i="2"/>
  <c r="K89" i="2" s="1"/>
  <c r="F89" i="2"/>
  <c r="G91" i="1"/>
  <c r="H91" i="1" s="1"/>
  <c r="J91" i="1" s="1"/>
  <c r="D92" i="1" s="1"/>
  <c r="G92" i="4" l="1"/>
  <c r="H92" i="4" s="1"/>
  <c r="J92" i="4" s="1"/>
  <c r="D93" i="4" s="1"/>
  <c r="I90" i="3"/>
  <c r="K90" i="3" s="1"/>
  <c r="F90" i="3"/>
  <c r="G89" i="2"/>
  <c r="H89" i="2" s="1"/>
  <c r="J89" i="2" s="1"/>
  <c r="D90" i="2" s="1"/>
  <c r="F92" i="1"/>
  <c r="I92" i="1"/>
  <c r="K92" i="1" s="1"/>
  <c r="F93" i="4" l="1"/>
  <c r="I93" i="4"/>
  <c r="K93" i="4" s="1"/>
  <c r="G90" i="3"/>
  <c r="H90" i="3" s="1"/>
  <c r="J90" i="3" s="1"/>
  <c r="D91" i="3" s="1"/>
  <c r="F90" i="2"/>
  <c r="I90" i="2"/>
  <c r="K90" i="2" s="1"/>
  <c r="G92" i="1"/>
  <c r="H92" i="1" s="1"/>
  <c r="J92" i="1" s="1"/>
  <c r="D93" i="1" s="1"/>
  <c r="G93" i="4" l="1"/>
  <c r="H93" i="4" s="1"/>
  <c r="J93" i="4" s="1"/>
  <c r="D94" i="4" s="1"/>
  <c r="F91" i="3"/>
  <c r="I91" i="3"/>
  <c r="K91" i="3" s="1"/>
  <c r="G90" i="2"/>
  <c r="H90" i="2" s="1"/>
  <c r="J90" i="2" s="1"/>
  <c r="D91" i="2" s="1"/>
  <c r="I93" i="1"/>
  <c r="K93" i="1" s="1"/>
  <c r="F93" i="1"/>
  <c r="F94" i="4" l="1"/>
  <c r="I94" i="4"/>
  <c r="K94" i="4" s="1"/>
  <c r="G91" i="3"/>
  <c r="H91" i="3" s="1"/>
  <c r="J91" i="3" s="1"/>
  <c r="D92" i="3" s="1"/>
  <c r="I91" i="2"/>
  <c r="K91" i="2" s="1"/>
  <c r="F91" i="2"/>
  <c r="G93" i="1"/>
  <c r="H93" i="1" s="1"/>
  <c r="J93" i="1" s="1"/>
  <c r="D94" i="1" s="1"/>
  <c r="G94" i="4" l="1"/>
  <c r="H94" i="4" s="1"/>
  <c r="J94" i="4" s="1"/>
  <c r="D95" i="4" s="1"/>
  <c r="I92" i="3"/>
  <c r="K92" i="3" s="1"/>
  <c r="F92" i="3"/>
  <c r="G91" i="2"/>
  <c r="H91" i="2" s="1"/>
  <c r="J91" i="2" s="1"/>
  <c r="D92" i="2" s="1"/>
  <c r="I94" i="1"/>
  <c r="K94" i="1" s="1"/>
  <c r="F94" i="1"/>
  <c r="I95" i="4" l="1"/>
  <c r="K95" i="4" s="1"/>
  <c r="F95" i="4"/>
  <c r="G92" i="3"/>
  <c r="H92" i="3" s="1"/>
  <c r="J92" i="3" s="1"/>
  <c r="D93" i="3" s="1"/>
  <c r="F92" i="2"/>
  <c r="I92" i="2"/>
  <c r="K92" i="2" s="1"/>
  <c r="G94" i="1"/>
  <c r="H94" i="1" s="1"/>
  <c r="J94" i="1" s="1"/>
  <c r="D95" i="1" s="1"/>
  <c r="G95" i="4" l="1"/>
  <c r="H95" i="4" s="1"/>
  <c r="J95" i="4" s="1"/>
  <c r="D96" i="4" s="1"/>
  <c r="I93" i="3"/>
  <c r="K93" i="3" s="1"/>
  <c r="F93" i="3"/>
  <c r="G92" i="2"/>
  <c r="H92" i="2" s="1"/>
  <c r="J92" i="2" s="1"/>
  <c r="D93" i="2" s="1"/>
  <c r="I95" i="1"/>
  <c r="K95" i="1" s="1"/>
  <c r="F95" i="1"/>
  <c r="I96" i="4" l="1"/>
  <c r="K96" i="4" s="1"/>
  <c r="F96" i="4"/>
  <c r="G93" i="3"/>
  <c r="H93" i="3" s="1"/>
  <c r="J93" i="3" s="1"/>
  <c r="D94" i="3" s="1"/>
  <c r="F93" i="2"/>
  <c r="I93" i="2"/>
  <c r="K93" i="2" s="1"/>
  <c r="G95" i="1"/>
  <c r="H95" i="1" s="1"/>
  <c r="J95" i="1" s="1"/>
  <c r="D96" i="1" s="1"/>
  <c r="G96" i="4" l="1"/>
  <c r="H96" i="4" s="1"/>
  <c r="J96" i="4" s="1"/>
  <c r="D97" i="4" s="1"/>
  <c r="I94" i="3"/>
  <c r="K94" i="3" s="1"/>
  <c r="F94" i="3"/>
  <c r="G93" i="2"/>
  <c r="H93" i="2" s="1"/>
  <c r="J93" i="2" s="1"/>
  <c r="D94" i="2" s="1"/>
  <c r="I96" i="1"/>
  <c r="K96" i="1" s="1"/>
  <c r="F96" i="1"/>
  <c r="F97" i="4" l="1"/>
  <c r="I97" i="4"/>
  <c r="K97" i="4" s="1"/>
  <c r="G94" i="3"/>
  <c r="H94" i="3" s="1"/>
  <c r="J94" i="3" s="1"/>
  <c r="D95" i="3" s="1"/>
  <c r="F94" i="2"/>
  <c r="I94" i="2"/>
  <c r="K94" i="2" s="1"/>
  <c r="G96" i="1"/>
  <c r="H96" i="1" s="1"/>
  <c r="J96" i="1" s="1"/>
  <c r="D97" i="1" s="1"/>
  <c r="G97" i="4" l="1"/>
  <c r="H97" i="4" s="1"/>
  <c r="J97" i="4" s="1"/>
  <c r="D98" i="4" s="1"/>
  <c r="F95" i="3"/>
  <c r="I95" i="3"/>
  <c r="K95" i="3" s="1"/>
  <c r="G94" i="2"/>
  <c r="H94" i="2" s="1"/>
  <c r="J94" i="2" s="1"/>
  <c r="D95" i="2" s="1"/>
  <c r="I97" i="1"/>
  <c r="K97" i="1" s="1"/>
  <c r="F97" i="1"/>
  <c r="I98" i="4" l="1"/>
  <c r="K98" i="4" s="1"/>
  <c r="F98" i="4"/>
  <c r="G95" i="3"/>
  <c r="H95" i="3" s="1"/>
  <c r="J95" i="3" s="1"/>
  <c r="D96" i="3" s="1"/>
  <c r="I95" i="2"/>
  <c r="K95" i="2" s="1"/>
  <c r="F95" i="2"/>
  <c r="G97" i="1"/>
  <c r="H97" i="1" s="1"/>
  <c r="J97" i="1" s="1"/>
  <c r="D98" i="1" s="1"/>
  <c r="G98" i="4" l="1"/>
  <c r="H98" i="4" s="1"/>
  <c r="J98" i="4" s="1"/>
  <c r="D99" i="4" s="1"/>
  <c r="I96" i="3"/>
  <c r="F96" i="3"/>
  <c r="I6" i="3" s="1"/>
  <c r="G95" i="2"/>
  <c r="H95" i="2" s="1"/>
  <c r="J95" i="2" s="1"/>
  <c r="D96" i="2" s="1"/>
  <c r="I98" i="1"/>
  <c r="K98" i="1" s="1"/>
  <c r="F98" i="1"/>
  <c r="F99" i="4" l="1"/>
  <c r="I99" i="4"/>
  <c r="K99" i="4" s="1"/>
  <c r="K96" i="3"/>
  <c r="I7" i="3"/>
  <c r="J96" i="3"/>
  <c r="I5" i="3" s="1"/>
  <c r="G96" i="3"/>
  <c r="H96" i="3" s="1"/>
  <c r="I96" i="2"/>
  <c r="K96" i="2" s="1"/>
  <c r="F96" i="2"/>
  <c r="G98" i="1"/>
  <c r="H98" i="1" s="1"/>
  <c r="J98" i="1" s="1"/>
  <c r="D99" i="1" s="1"/>
  <c r="G99" i="4" l="1"/>
  <c r="H99" i="4" s="1"/>
  <c r="J99" i="4" s="1"/>
  <c r="D100" i="4" s="1"/>
  <c r="G96" i="2"/>
  <c r="H96" i="2" s="1"/>
  <c r="J96" i="2" s="1"/>
  <c r="D97" i="2" s="1"/>
  <c r="F99" i="1"/>
  <c r="I99" i="1"/>
  <c r="K99" i="1" s="1"/>
  <c r="I100" i="4" l="1"/>
  <c r="K100" i="4" s="1"/>
  <c r="F100" i="4"/>
  <c r="I97" i="2"/>
  <c r="K97" i="2" s="1"/>
  <c r="F97" i="2"/>
  <c r="G99" i="1"/>
  <c r="H99" i="1" s="1"/>
  <c r="J99" i="1" s="1"/>
  <c r="D100" i="1" s="1"/>
  <c r="G100" i="4" l="1"/>
  <c r="H100" i="4" s="1"/>
  <c r="J100" i="4" s="1"/>
  <c r="D101" i="4" s="1"/>
  <c r="G97" i="2"/>
  <c r="H97" i="2" s="1"/>
  <c r="J97" i="2" s="1"/>
  <c r="D98" i="2" s="1"/>
  <c r="F100" i="1"/>
  <c r="I100" i="1"/>
  <c r="K100" i="1" s="1"/>
  <c r="F101" i="4" l="1"/>
  <c r="I101" i="4"/>
  <c r="K101" i="4" s="1"/>
  <c r="I98" i="2"/>
  <c r="K98" i="2" s="1"/>
  <c r="F98" i="2"/>
  <c r="G100" i="1"/>
  <c r="H100" i="1" s="1"/>
  <c r="J100" i="1" s="1"/>
  <c r="D101" i="1" s="1"/>
  <c r="G101" i="4" l="1"/>
  <c r="H101" i="4" s="1"/>
  <c r="J101" i="4" s="1"/>
  <c r="D102" i="4" s="1"/>
  <c r="G98" i="2"/>
  <c r="H98" i="2" s="1"/>
  <c r="J98" i="2" s="1"/>
  <c r="D99" i="2" s="1"/>
  <c r="I101" i="1"/>
  <c r="K101" i="1" s="1"/>
  <c r="F101" i="1"/>
  <c r="I102" i="4" l="1"/>
  <c r="K102" i="4" s="1"/>
  <c r="F102" i="4"/>
  <c r="I99" i="2"/>
  <c r="K99" i="2" s="1"/>
  <c r="F99" i="2"/>
  <c r="G101" i="1"/>
  <c r="H101" i="1" s="1"/>
  <c r="J101" i="1" s="1"/>
  <c r="D102" i="1" s="1"/>
  <c r="G102" i="4" l="1"/>
  <c r="H102" i="4" s="1"/>
  <c r="J102" i="4" s="1"/>
  <c r="D103" i="4" s="1"/>
  <c r="G99" i="2"/>
  <c r="H99" i="2" s="1"/>
  <c r="J99" i="2" s="1"/>
  <c r="D100" i="2" s="1"/>
  <c r="F102" i="1"/>
  <c r="I102" i="1"/>
  <c r="K102" i="1" s="1"/>
  <c r="I103" i="4" l="1"/>
  <c r="K103" i="4" s="1"/>
  <c r="F103" i="4"/>
  <c r="I100" i="2"/>
  <c r="K100" i="2" s="1"/>
  <c r="F100" i="2"/>
  <c r="G102" i="1"/>
  <c r="H102" i="1" s="1"/>
  <c r="J102" i="1" s="1"/>
  <c r="D103" i="1" s="1"/>
  <c r="G103" i="4" l="1"/>
  <c r="H103" i="4" s="1"/>
  <c r="J103" i="4" s="1"/>
  <c r="D104" i="4" s="1"/>
  <c r="G100" i="2"/>
  <c r="H100" i="2" s="1"/>
  <c r="J100" i="2" s="1"/>
  <c r="D101" i="2" s="1"/>
  <c r="F103" i="1"/>
  <c r="I103" i="1"/>
  <c r="K103" i="1" s="1"/>
  <c r="I104" i="4" l="1"/>
  <c r="K104" i="4" s="1"/>
  <c r="F104" i="4"/>
  <c r="F101" i="2"/>
  <c r="I101" i="2"/>
  <c r="K101" i="2" s="1"/>
  <c r="G103" i="1"/>
  <c r="H103" i="1" s="1"/>
  <c r="J103" i="1" s="1"/>
  <c r="D104" i="1" s="1"/>
  <c r="G104" i="4" l="1"/>
  <c r="H104" i="4" s="1"/>
  <c r="J104" i="4" s="1"/>
  <c r="D105" i="4" s="1"/>
  <c r="G101" i="2"/>
  <c r="H101" i="2" s="1"/>
  <c r="J101" i="2" s="1"/>
  <c r="D102" i="2" s="1"/>
  <c r="I104" i="1"/>
  <c r="K104" i="1" s="1"/>
  <c r="F104" i="1"/>
  <c r="F105" i="4" l="1"/>
  <c r="I105" i="4"/>
  <c r="K105" i="4" s="1"/>
  <c r="F102" i="2"/>
  <c r="I102" i="2"/>
  <c r="K102" i="2" s="1"/>
  <c r="G104" i="1"/>
  <c r="H104" i="1" s="1"/>
  <c r="J104" i="1" s="1"/>
  <c r="D105" i="1" s="1"/>
  <c r="G105" i="4" l="1"/>
  <c r="H105" i="4" s="1"/>
  <c r="J105" i="4" s="1"/>
  <c r="D106" i="4" s="1"/>
  <c r="G102" i="2"/>
  <c r="H102" i="2" s="1"/>
  <c r="J102" i="2" s="1"/>
  <c r="D103" i="2" s="1"/>
  <c r="I105" i="1"/>
  <c r="K105" i="1" s="1"/>
  <c r="F105" i="1"/>
  <c r="I106" i="4" l="1"/>
  <c r="K106" i="4" s="1"/>
  <c r="F106" i="4"/>
  <c r="I103" i="2"/>
  <c r="K103" i="2" s="1"/>
  <c r="F103" i="2"/>
  <c r="G105" i="1"/>
  <c r="H105" i="1" s="1"/>
  <c r="J105" i="1" s="1"/>
  <c r="D106" i="1" s="1"/>
  <c r="G106" i="4" l="1"/>
  <c r="H106" i="4" s="1"/>
  <c r="J106" i="4" s="1"/>
  <c r="D107" i="4" s="1"/>
  <c r="G103" i="2"/>
  <c r="H103" i="2" s="1"/>
  <c r="J103" i="2" s="1"/>
  <c r="D104" i="2" s="1"/>
  <c r="I106" i="1"/>
  <c r="K106" i="1" s="1"/>
  <c r="F106" i="1"/>
  <c r="F107" i="4" l="1"/>
  <c r="I107" i="4"/>
  <c r="K107" i="4" s="1"/>
  <c r="I104" i="2"/>
  <c r="K104" i="2" s="1"/>
  <c r="F104" i="2"/>
  <c r="G106" i="1"/>
  <c r="H106" i="1" s="1"/>
  <c r="J106" i="1" s="1"/>
  <c r="D107" i="1" s="1"/>
  <c r="G107" i="4" l="1"/>
  <c r="H107" i="4" s="1"/>
  <c r="J107" i="4" s="1"/>
  <c r="D108" i="4" s="1"/>
  <c r="G104" i="2"/>
  <c r="H104" i="2" s="1"/>
  <c r="J104" i="2" s="1"/>
  <c r="D105" i="2" s="1"/>
  <c r="I107" i="1"/>
  <c r="K107" i="1" s="1"/>
  <c r="F107" i="1"/>
  <c r="I108" i="4" l="1"/>
  <c r="K108" i="4" s="1"/>
  <c r="F108" i="4"/>
  <c r="F105" i="2"/>
  <c r="I105" i="2"/>
  <c r="K105" i="2" s="1"/>
  <c r="G107" i="1"/>
  <c r="H107" i="1" s="1"/>
  <c r="J107" i="1" s="1"/>
  <c r="D108" i="1" s="1"/>
  <c r="G108" i="4" l="1"/>
  <c r="H108" i="4" s="1"/>
  <c r="J108" i="4" s="1"/>
  <c r="D109" i="4" s="1"/>
  <c r="G105" i="2"/>
  <c r="H105" i="2" s="1"/>
  <c r="J105" i="2"/>
  <c r="D106" i="2" s="1"/>
  <c r="I108" i="1"/>
  <c r="K108" i="1" s="1"/>
  <c r="F108" i="1"/>
  <c r="F109" i="4" l="1"/>
  <c r="I109" i="4"/>
  <c r="K109" i="4" s="1"/>
  <c r="I106" i="2"/>
  <c r="K106" i="2" s="1"/>
  <c r="F106" i="2"/>
  <c r="G108" i="1"/>
  <c r="H108" i="1" s="1"/>
  <c r="J108" i="1" s="1"/>
  <c r="D109" i="1" s="1"/>
  <c r="G109" i="4" l="1"/>
  <c r="H109" i="4" s="1"/>
  <c r="J109" i="4" s="1"/>
  <c r="D110" i="4" s="1"/>
  <c r="G106" i="2"/>
  <c r="H106" i="2" s="1"/>
  <c r="J106" i="2" s="1"/>
  <c r="D107" i="2" s="1"/>
  <c r="F109" i="1"/>
  <c r="I109" i="1"/>
  <c r="K109" i="1" s="1"/>
  <c r="I110" i="4" l="1"/>
  <c r="K110" i="4" s="1"/>
  <c r="F110" i="4"/>
  <c r="F107" i="2"/>
  <c r="I107" i="2"/>
  <c r="K107" i="2" s="1"/>
  <c r="G109" i="1"/>
  <c r="H109" i="1" s="1"/>
  <c r="J109" i="1" s="1"/>
  <c r="D110" i="1" s="1"/>
  <c r="G110" i="4" l="1"/>
  <c r="H110" i="4" s="1"/>
  <c r="J110" i="4" s="1"/>
  <c r="D111" i="4" s="1"/>
  <c r="G107" i="2"/>
  <c r="H107" i="2" s="1"/>
  <c r="J107" i="2" s="1"/>
  <c r="D108" i="2" s="1"/>
  <c r="I110" i="1"/>
  <c r="K110" i="1" s="1"/>
  <c r="F110" i="1"/>
  <c r="F111" i="4" l="1"/>
  <c r="I111" i="4"/>
  <c r="K111" i="4" s="1"/>
  <c r="F108" i="2"/>
  <c r="I108" i="2"/>
  <c r="K108" i="2" s="1"/>
  <c r="G110" i="1"/>
  <c r="H110" i="1" s="1"/>
  <c r="J110" i="1" s="1"/>
  <c r="D111" i="1" s="1"/>
  <c r="G111" i="4" l="1"/>
  <c r="H111" i="4" s="1"/>
  <c r="J111" i="4" s="1"/>
  <c r="D112" i="4" s="1"/>
  <c r="G108" i="2"/>
  <c r="H108" i="2" s="1"/>
  <c r="J108" i="2" s="1"/>
  <c r="D109" i="2" s="1"/>
  <c r="F111" i="1"/>
  <c r="I111" i="1"/>
  <c r="K111" i="1" s="1"/>
  <c r="I112" i="4" l="1"/>
  <c r="K112" i="4" s="1"/>
  <c r="F112" i="4"/>
  <c r="I109" i="2"/>
  <c r="K109" i="2" s="1"/>
  <c r="F109" i="2"/>
  <c r="G111" i="1"/>
  <c r="H111" i="1" s="1"/>
  <c r="J111" i="1" s="1"/>
  <c r="D112" i="1" s="1"/>
  <c r="G112" i="4" l="1"/>
  <c r="H112" i="4" s="1"/>
  <c r="J112" i="4" s="1"/>
  <c r="D113" i="4" s="1"/>
  <c r="G109" i="2"/>
  <c r="H109" i="2" s="1"/>
  <c r="J109" i="2" s="1"/>
  <c r="D110" i="2" s="1"/>
  <c r="I112" i="1"/>
  <c r="K112" i="1" s="1"/>
  <c r="F112" i="1"/>
  <c r="I113" i="4" l="1"/>
  <c r="K113" i="4" s="1"/>
  <c r="F113" i="4"/>
  <c r="I110" i="2"/>
  <c r="K110" i="2" s="1"/>
  <c r="F110" i="2"/>
  <c r="G112" i="1"/>
  <c r="H112" i="1" s="1"/>
  <c r="J112" i="1" s="1"/>
  <c r="D113" i="1" s="1"/>
  <c r="G113" i="4" l="1"/>
  <c r="H113" i="4" s="1"/>
  <c r="J113" i="4" s="1"/>
  <c r="D114" i="4" s="1"/>
  <c r="G110" i="2"/>
  <c r="H110" i="2" s="1"/>
  <c r="J110" i="2" s="1"/>
  <c r="D111" i="2" s="1"/>
  <c r="F113" i="1"/>
  <c r="I113" i="1"/>
  <c r="K113" i="1" s="1"/>
  <c r="F114" i="4" l="1"/>
  <c r="I114" i="4"/>
  <c r="K114" i="4" s="1"/>
  <c r="F111" i="2"/>
  <c r="I111" i="2"/>
  <c r="K111" i="2" s="1"/>
  <c r="G113" i="1"/>
  <c r="H113" i="1" s="1"/>
  <c r="J113" i="1" s="1"/>
  <c r="D114" i="1" s="1"/>
  <c r="G114" i="4" l="1"/>
  <c r="H114" i="4" s="1"/>
  <c r="J114" i="4" s="1"/>
  <c r="D115" i="4" s="1"/>
  <c r="G111" i="2"/>
  <c r="H111" i="2" s="1"/>
  <c r="J111" i="2"/>
  <c r="D112" i="2" s="1"/>
  <c r="I114" i="1"/>
  <c r="K114" i="1" s="1"/>
  <c r="F114" i="1"/>
  <c r="I115" i="4" l="1"/>
  <c r="K115" i="4" s="1"/>
  <c r="F115" i="4"/>
  <c r="I112" i="2"/>
  <c r="K112" i="2" s="1"/>
  <c r="F112" i="2"/>
  <c r="G114" i="1"/>
  <c r="H114" i="1" s="1"/>
  <c r="J114" i="1" s="1"/>
  <c r="D115" i="1" s="1"/>
  <c r="G115" i="4" l="1"/>
  <c r="H115" i="4" s="1"/>
  <c r="J115" i="4" s="1"/>
  <c r="D116" i="4" s="1"/>
  <c r="G112" i="2"/>
  <c r="H112" i="2" s="1"/>
  <c r="J112" i="2" s="1"/>
  <c r="D113" i="2" s="1"/>
  <c r="F115" i="1"/>
  <c r="I115" i="1"/>
  <c r="K115" i="1" s="1"/>
  <c r="I116" i="4" l="1"/>
  <c r="K116" i="4" s="1"/>
  <c r="F116" i="4"/>
  <c r="F113" i="2"/>
  <c r="I113" i="2"/>
  <c r="K113" i="2" s="1"/>
  <c r="G115" i="1"/>
  <c r="H115" i="1" s="1"/>
  <c r="J115" i="1" s="1"/>
  <c r="D116" i="1" s="1"/>
  <c r="G116" i="4" l="1"/>
  <c r="H116" i="4" s="1"/>
  <c r="J116" i="4" s="1"/>
  <c r="D117" i="4" s="1"/>
  <c r="G113" i="2"/>
  <c r="H113" i="2" s="1"/>
  <c r="J113" i="2" s="1"/>
  <c r="D114" i="2" s="1"/>
  <c r="I116" i="1"/>
  <c r="K116" i="1" s="1"/>
  <c r="F116" i="1"/>
  <c r="I117" i="4" l="1"/>
  <c r="K117" i="4" s="1"/>
  <c r="F117" i="4"/>
  <c r="F114" i="2"/>
  <c r="I114" i="2"/>
  <c r="K114" i="2" s="1"/>
  <c r="G116" i="1"/>
  <c r="H116" i="1" s="1"/>
  <c r="J116" i="1" s="1"/>
  <c r="D117" i="1" s="1"/>
  <c r="G117" i="4" l="1"/>
  <c r="H117" i="4" s="1"/>
  <c r="J117" i="4" s="1"/>
  <c r="D118" i="4" s="1"/>
  <c r="G114" i="2"/>
  <c r="H114" i="2" s="1"/>
  <c r="J114" i="2" s="1"/>
  <c r="D115" i="2" s="1"/>
  <c r="I117" i="1"/>
  <c r="K117" i="1" s="1"/>
  <c r="F117" i="1"/>
  <c r="F118" i="4" l="1"/>
  <c r="I118" i="4"/>
  <c r="K118" i="4" s="1"/>
  <c r="F115" i="2"/>
  <c r="I115" i="2"/>
  <c r="K115" i="2" s="1"/>
  <c r="G117" i="1"/>
  <c r="H117" i="1" s="1"/>
  <c r="J117" i="1" s="1"/>
  <c r="D118" i="1" s="1"/>
  <c r="G118" i="4" l="1"/>
  <c r="H118" i="4" s="1"/>
  <c r="J118" i="4" s="1"/>
  <c r="D119" i="4" s="1"/>
  <c r="G115" i="2"/>
  <c r="H115" i="2" s="1"/>
  <c r="J115" i="2" s="1"/>
  <c r="D116" i="2" s="1"/>
  <c r="I118" i="1"/>
  <c r="K118" i="1" s="1"/>
  <c r="F118" i="1"/>
  <c r="F119" i="4" l="1"/>
  <c r="I119" i="4"/>
  <c r="K119" i="4" s="1"/>
  <c r="I116" i="2"/>
  <c r="K116" i="2" s="1"/>
  <c r="F116" i="2"/>
  <c r="G118" i="1"/>
  <c r="H118" i="1" s="1"/>
  <c r="J118" i="1" s="1"/>
  <c r="D119" i="1" s="1"/>
  <c r="G119" i="4" l="1"/>
  <c r="H119" i="4" s="1"/>
  <c r="J119" i="4" s="1"/>
  <c r="D120" i="4" s="1"/>
  <c r="G116" i="2"/>
  <c r="H116" i="2" s="1"/>
  <c r="J116" i="2" s="1"/>
  <c r="D117" i="2" s="1"/>
  <c r="I119" i="1"/>
  <c r="K119" i="1" s="1"/>
  <c r="F119" i="1"/>
  <c r="I120" i="4" l="1"/>
  <c r="K120" i="4" s="1"/>
  <c r="F120" i="4"/>
  <c r="F117" i="2"/>
  <c r="I117" i="2"/>
  <c r="K117" i="2" s="1"/>
  <c r="G119" i="1"/>
  <c r="H119" i="1" s="1"/>
  <c r="J119" i="1" s="1"/>
  <c r="D120" i="1" s="1"/>
  <c r="G120" i="4" l="1"/>
  <c r="H120" i="4" s="1"/>
  <c r="J120" i="4" s="1"/>
  <c r="D121" i="4" s="1"/>
  <c r="G117" i="2"/>
  <c r="H117" i="2" s="1"/>
  <c r="J117" i="2" s="1"/>
  <c r="D118" i="2" s="1"/>
  <c r="I120" i="1"/>
  <c r="K120" i="1" s="1"/>
  <c r="F120" i="1"/>
  <c r="I121" i="4" l="1"/>
  <c r="K121" i="4" s="1"/>
  <c r="F121" i="4"/>
  <c r="I118" i="2"/>
  <c r="K118" i="2" s="1"/>
  <c r="F118" i="2"/>
  <c r="G120" i="1"/>
  <c r="H120" i="1" s="1"/>
  <c r="J120" i="1" s="1"/>
  <c r="D121" i="1" s="1"/>
  <c r="G121" i="4" l="1"/>
  <c r="H121" i="4" s="1"/>
  <c r="J121" i="4" s="1"/>
  <c r="D122" i="4" s="1"/>
  <c r="G118" i="2"/>
  <c r="H118" i="2" s="1"/>
  <c r="J118" i="2" s="1"/>
  <c r="D119" i="2" s="1"/>
  <c r="F121" i="1"/>
  <c r="I121" i="1"/>
  <c r="K121" i="1" s="1"/>
  <c r="I122" i="4" l="1"/>
  <c r="K122" i="4" s="1"/>
  <c r="F122" i="4"/>
  <c r="I119" i="2"/>
  <c r="K119" i="2" s="1"/>
  <c r="F119" i="2"/>
  <c r="G121" i="1"/>
  <c r="H121" i="1" s="1"/>
  <c r="J121" i="1" s="1"/>
  <c r="D122" i="1" s="1"/>
  <c r="G122" i="4" l="1"/>
  <c r="H122" i="4" s="1"/>
  <c r="J122" i="4" s="1"/>
  <c r="D123" i="4" s="1"/>
  <c r="G119" i="2"/>
  <c r="H119" i="2" s="1"/>
  <c r="J119" i="2" s="1"/>
  <c r="D120" i="2" s="1"/>
  <c r="I122" i="1"/>
  <c r="K122" i="1" s="1"/>
  <c r="F122" i="1"/>
  <c r="I123" i="4" l="1"/>
  <c r="K123" i="4" s="1"/>
  <c r="F123" i="4"/>
  <c r="I120" i="2"/>
  <c r="K120" i="2" s="1"/>
  <c r="F120" i="2"/>
  <c r="G122" i="1"/>
  <c r="H122" i="1" s="1"/>
  <c r="J122" i="1" s="1"/>
  <c r="D123" i="1" s="1"/>
  <c r="G123" i="4" l="1"/>
  <c r="H123" i="4" s="1"/>
  <c r="J123" i="4" s="1"/>
  <c r="D124" i="4" s="1"/>
  <c r="G120" i="2"/>
  <c r="H120" i="2" s="1"/>
  <c r="J120" i="2" s="1"/>
  <c r="D121" i="2" s="1"/>
  <c r="I123" i="1"/>
  <c r="K123" i="1" s="1"/>
  <c r="F123" i="1"/>
  <c r="I124" i="4" l="1"/>
  <c r="K124" i="4" s="1"/>
  <c r="F124" i="4"/>
  <c r="I121" i="2"/>
  <c r="K121" i="2" s="1"/>
  <c r="F121" i="2"/>
  <c r="G123" i="1"/>
  <c r="H123" i="1" s="1"/>
  <c r="J123" i="1" s="1"/>
  <c r="D124" i="1" s="1"/>
  <c r="G124" i="4" l="1"/>
  <c r="H124" i="4" s="1"/>
  <c r="J124" i="4" s="1"/>
  <c r="D125" i="4" s="1"/>
  <c r="G121" i="2"/>
  <c r="H121" i="2" s="1"/>
  <c r="J121" i="2" s="1"/>
  <c r="D122" i="2" s="1"/>
  <c r="F124" i="1"/>
  <c r="I124" i="1"/>
  <c r="K124" i="1" s="1"/>
  <c r="I125" i="4" l="1"/>
  <c r="K125" i="4" s="1"/>
  <c r="F125" i="4"/>
  <c r="I122" i="2"/>
  <c r="K122" i="2" s="1"/>
  <c r="F122" i="2"/>
  <c r="G124" i="1"/>
  <c r="H124" i="1" s="1"/>
  <c r="J124" i="1" s="1"/>
  <c r="D125" i="1" s="1"/>
  <c r="G125" i="4" l="1"/>
  <c r="H125" i="4" s="1"/>
  <c r="J125" i="4" s="1"/>
  <c r="D126" i="4" s="1"/>
  <c r="G122" i="2"/>
  <c r="H122" i="2" s="1"/>
  <c r="J122" i="2" s="1"/>
  <c r="D123" i="2" s="1"/>
  <c r="I125" i="1"/>
  <c r="K125" i="1" s="1"/>
  <c r="F125" i="1"/>
  <c r="I126" i="4" l="1"/>
  <c r="K126" i="4" s="1"/>
  <c r="F126" i="4"/>
  <c r="I123" i="2"/>
  <c r="K123" i="2" s="1"/>
  <c r="F123" i="2"/>
  <c r="G125" i="1"/>
  <c r="H125" i="1" s="1"/>
  <c r="J125" i="1" s="1"/>
  <c r="D126" i="1" s="1"/>
  <c r="G126" i="4" l="1"/>
  <c r="H126" i="4" s="1"/>
  <c r="J126" i="4" s="1"/>
  <c r="D127" i="4" s="1"/>
  <c r="G123" i="2"/>
  <c r="H123" i="2" s="1"/>
  <c r="J123" i="2" s="1"/>
  <c r="D124" i="2" s="1"/>
  <c r="I126" i="1"/>
  <c r="K126" i="1" s="1"/>
  <c r="F126" i="1"/>
  <c r="I127" i="4" l="1"/>
  <c r="K127" i="4" s="1"/>
  <c r="F127" i="4"/>
  <c r="I124" i="2"/>
  <c r="K124" i="2" s="1"/>
  <c r="F124" i="2"/>
  <c r="G126" i="1"/>
  <c r="H126" i="1" s="1"/>
  <c r="J126" i="1" s="1"/>
  <c r="D127" i="1" s="1"/>
  <c r="G127" i="4" l="1"/>
  <c r="H127" i="4" s="1"/>
  <c r="J127" i="4" s="1"/>
  <c r="D128" i="4" s="1"/>
  <c r="G124" i="2"/>
  <c r="H124" i="2" s="1"/>
  <c r="J124" i="2" s="1"/>
  <c r="D125" i="2" s="1"/>
  <c r="I127" i="1"/>
  <c r="K127" i="1" s="1"/>
  <c r="F127" i="1"/>
  <c r="I128" i="4" l="1"/>
  <c r="K128" i="4" s="1"/>
  <c r="F128" i="4"/>
  <c r="I125" i="2"/>
  <c r="K125" i="2" s="1"/>
  <c r="F125" i="2"/>
  <c r="G127" i="1"/>
  <c r="H127" i="1" s="1"/>
  <c r="J127" i="1" s="1"/>
  <c r="D128" i="1" s="1"/>
  <c r="G128" i="4" l="1"/>
  <c r="H128" i="4" s="1"/>
  <c r="J128" i="4" s="1"/>
  <c r="D129" i="4" s="1"/>
  <c r="G125" i="2"/>
  <c r="H125" i="2" s="1"/>
  <c r="J125" i="2" s="1"/>
  <c r="D126" i="2" s="1"/>
  <c r="I128" i="1"/>
  <c r="K128" i="1" s="1"/>
  <c r="F128" i="1"/>
  <c r="F129" i="4" l="1"/>
  <c r="I129" i="4"/>
  <c r="K129" i="4" s="1"/>
  <c r="F126" i="2"/>
  <c r="I126" i="2"/>
  <c r="K126" i="2" s="1"/>
  <c r="G128" i="1"/>
  <c r="H128" i="1" s="1"/>
  <c r="J128" i="1" s="1"/>
  <c r="D129" i="1" s="1"/>
  <c r="G129" i="4" l="1"/>
  <c r="H129" i="4" s="1"/>
  <c r="J129" i="4" s="1"/>
  <c r="D130" i="4" s="1"/>
  <c r="G126" i="2"/>
  <c r="H126" i="2" s="1"/>
  <c r="J126" i="2" s="1"/>
  <c r="D127" i="2" s="1"/>
  <c r="I129" i="1"/>
  <c r="K129" i="1" s="1"/>
  <c r="F129" i="1"/>
  <c r="I130" i="4" l="1"/>
  <c r="K130" i="4" s="1"/>
  <c r="F130" i="4"/>
  <c r="I127" i="2"/>
  <c r="K127" i="2" s="1"/>
  <c r="F127" i="2"/>
  <c r="G129" i="1"/>
  <c r="H129" i="1" s="1"/>
  <c r="J129" i="1" s="1"/>
  <c r="D130" i="1" s="1"/>
  <c r="G130" i="4" l="1"/>
  <c r="H130" i="4" s="1"/>
  <c r="J130" i="4" s="1"/>
  <c r="D131" i="4" s="1"/>
  <c r="G127" i="2"/>
  <c r="H127" i="2" s="1"/>
  <c r="J127" i="2" s="1"/>
  <c r="D128" i="2" s="1"/>
  <c r="I130" i="1"/>
  <c r="K130" i="1" s="1"/>
  <c r="F130" i="1"/>
  <c r="I131" i="4" l="1"/>
  <c r="K131" i="4" s="1"/>
  <c r="F131" i="4"/>
  <c r="I128" i="2"/>
  <c r="K128" i="2" s="1"/>
  <c r="F128" i="2"/>
  <c r="G130" i="1"/>
  <c r="H130" i="1" s="1"/>
  <c r="J130" i="1" s="1"/>
  <c r="D131" i="1" s="1"/>
  <c r="G131" i="4" l="1"/>
  <c r="H131" i="4" s="1"/>
  <c r="J131" i="4" s="1"/>
  <c r="D132" i="4" s="1"/>
  <c r="G128" i="2"/>
  <c r="H128" i="2" s="1"/>
  <c r="J128" i="2" s="1"/>
  <c r="D129" i="2" s="1"/>
  <c r="I131" i="1"/>
  <c r="K131" i="1" s="1"/>
  <c r="F131" i="1"/>
  <c r="I132" i="4" l="1"/>
  <c r="K132" i="4" s="1"/>
  <c r="F132" i="4"/>
  <c r="I129" i="2"/>
  <c r="K129" i="2" s="1"/>
  <c r="F129" i="2"/>
  <c r="G131" i="1"/>
  <c r="H131" i="1" s="1"/>
  <c r="J131" i="1" s="1"/>
  <c r="D132" i="1" s="1"/>
  <c r="G132" i="4" l="1"/>
  <c r="H132" i="4" s="1"/>
  <c r="J132" i="4" s="1"/>
  <c r="D133" i="4" s="1"/>
  <c r="G129" i="2"/>
  <c r="H129" i="2" s="1"/>
  <c r="J129" i="2" s="1"/>
  <c r="D130" i="2" s="1"/>
  <c r="F132" i="1"/>
  <c r="I132" i="1"/>
  <c r="K132" i="1" s="1"/>
  <c r="I133" i="4" l="1"/>
  <c r="K133" i="4" s="1"/>
  <c r="F133" i="4"/>
  <c r="I130" i="2"/>
  <c r="K130" i="2" s="1"/>
  <c r="F130" i="2"/>
  <c r="G132" i="1"/>
  <c r="H132" i="1" s="1"/>
  <c r="J132" i="1" s="1"/>
  <c r="D133" i="1" s="1"/>
  <c r="G133" i="4" l="1"/>
  <c r="H133" i="4" s="1"/>
  <c r="J133" i="4" s="1"/>
  <c r="D134" i="4" s="1"/>
  <c r="G130" i="2"/>
  <c r="H130" i="2" s="1"/>
  <c r="J130" i="2" s="1"/>
  <c r="D131" i="2" s="1"/>
  <c r="I133" i="1"/>
  <c r="K133" i="1" s="1"/>
  <c r="F133" i="1"/>
  <c r="I134" i="4" l="1"/>
  <c r="K134" i="4" s="1"/>
  <c r="F134" i="4"/>
  <c r="I131" i="2"/>
  <c r="K131" i="2" s="1"/>
  <c r="F131" i="2"/>
  <c r="G133" i="1"/>
  <c r="H133" i="1" s="1"/>
  <c r="J133" i="1" s="1"/>
  <c r="D134" i="1" s="1"/>
  <c r="G134" i="4" l="1"/>
  <c r="H134" i="4" s="1"/>
  <c r="J134" i="4" s="1"/>
  <c r="D135" i="4" s="1"/>
  <c r="G131" i="2"/>
  <c r="H131" i="2" s="1"/>
  <c r="J131" i="2" s="1"/>
  <c r="D132" i="2" s="1"/>
  <c r="F134" i="1"/>
  <c r="I134" i="1"/>
  <c r="K134" i="1" s="1"/>
  <c r="I135" i="4" l="1"/>
  <c r="K135" i="4" s="1"/>
  <c r="F135" i="4"/>
  <c r="F132" i="2"/>
  <c r="I132" i="2"/>
  <c r="K132" i="2" s="1"/>
  <c r="G134" i="1"/>
  <c r="H134" i="1" s="1"/>
  <c r="J134" i="1" s="1"/>
  <c r="D135" i="1" s="1"/>
  <c r="G135" i="4" l="1"/>
  <c r="H135" i="4" s="1"/>
  <c r="J135" i="4" s="1"/>
  <c r="D136" i="4" s="1"/>
  <c r="G132" i="2"/>
  <c r="H132" i="2" s="1"/>
  <c r="J132" i="2" s="1"/>
  <c r="D133" i="2" s="1"/>
  <c r="F135" i="1"/>
  <c r="I135" i="1"/>
  <c r="K135" i="1" s="1"/>
  <c r="I136" i="4" l="1"/>
  <c r="K136" i="4" s="1"/>
  <c r="F136" i="4"/>
  <c r="I133" i="2"/>
  <c r="K133" i="2" s="1"/>
  <c r="F133" i="2"/>
  <c r="G135" i="1"/>
  <c r="H135" i="1" s="1"/>
  <c r="J135" i="1" s="1"/>
  <c r="D136" i="1" s="1"/>
  <c r="G136" i="4" l="1"/>
  <c r="H136" i="4" s="1"/>
  <c r="J136" i="4" s="1"/>
  <c r="D137" i="4" s="1"/>
  <c r="G133" i="2"/>
  <c r="H133" i="2" s="1"/>
  <c r="J133" i="2" s="1"/>
  <c r="D134" i="2" s="1"/>
  <c r="F136" i="1"/>
  <c r="I136" i="1"/>
  <c r="K136" i="1" s="1"/>
  <c r="I137" i="4" l="1"/>
  <c r="K137" i="4" s="1"/>
  <c r="F137" i="4"/>
  <c r="I134" i="2"/>
  <c r="K134" i="2" s="1"/>
  <c r="F134" i="2"/>
  <c r="G136" i="1"/>
  <c r="H136" i="1" s="1"/>
  <c r="J136" i="1" s="1"/>
  <c r="D137" i="1" s="1"/>
  <c r="G137" i="4" l="1"/>
  <c r="H137" i="4" s="1"/>
  <c r="J137" i="4" s="1"/>
  <c r="D138" i="4" s="1"/>
  <c r="G134" i="2"/>
  <c r="H134" i="2" s="1"/>
  <c r="J134" i="2"/>
  <c r="D135" i="2" s="1"/>
  <c r="F137" i="1"/>
  <c r="I137" i="1"/>
  <c r="K137" i="1" s="1"/>
  <c r="I138" i="4" l="1"/>
  <c r="K138" i="4" s="1"/>
  <c r="F138" i="4"/>
  <c r="I135" i="2"/>
  <c r="K135" i="2" s="1"/>
  <c r="F135" i="2"/>
  <c r="G137" i="1"/>
  <c r="H137" i="1" s="1"/>
  <c r="J137" i="1" s="1"/>
  <c r="D138" i="1" s="1"/>
  <c r="G138" i="4" l="1"/>
  <c r="H138" i="4" s="1"/>
  <c r="J138" i="4" s="1"/>
  <c r="D139" i="4" s="1"/>
  <c r="G135" i="2"/>
  <c r="H135" i="2" s="1"/>
  <c r="J135" i="2" s="1"/>
  <c r="D136" i="2" s="1"/>
  <c r="I138" i="1"/>
  <c r="K138" i="1" s="1"/>
  <c r="F138" i="1"/>
  <c r="I139" i="4" l="1"/>
  <c r="K139" i="4" s="1"/>
  <c r="F139" i="4"/>
  <c r="F136" i="2"/>
  <c r="I136" i="2"/>
  <c r="K136" i="2" s="1"/>
  <c r="G138" i="1"/>
  <c r="H138" i="1" s="1"/>
  <c r="J138" i="1" s="1"/>
  <c r="D139" i="1" s="1"/>
  <c r="G139" i="4" l="1"/>
  <c r="H139" i="4" s="1"/>
  <c r="J139" i="4" s="1"/>
  <c r="D140" i="4" s="1"/>
  <c r="G136" i="2"/>
  <c r="H136" i="2" s="1"/>
  <c r="J136" i="2" s="1"/>
  <c r="D137" i="2" s="1"/>
  <c r="I139" i="1"/>
  <c r="K139" i="1" s="1"/>
  <c r="F139" i="1"/>
  <c r="I140" i="4" l="1"/>
  <c r="K140" i="4" s="1"/>
  <c r="F140" i="4"/>
  <c r="I137" i="2"/>
  <c r="K137" i="2" s="1"/>
  <c r="F137" i="2"/>
  <c r="G139" i="1"/>
  <c r="H139" i="1" s="1"/>
  <c r="J139" i="1" s="1"/>
  <c r="D140" i="1" s="1"/>
  <c r="G140" i="4" l="1"/>
  <c r="H140" i="4" s="1"/>
  <c r="J140" i="4" s="1"/>
  <c r="D141" i="4" s="1"/>
  <c r="G137" i="2"/>
  <c r="H137" i="2" s="1"/>
  <c r="J137" i="2" s="1"/>
  <c r="D138" i="2" s="1"/>
  <c r="I140" i="1"/>
  <c r="K140" i="1" s="1"/>
  <c r="F140" i="1"/>
  <c r="F141" i="4" l="1"/>
  <c r="I141" i="4"/>
  <c r="K141" i="4" s="1"/>
  <c r="F138" i="2"/>
  <c r="I138" i="2"/>
  <c r="K138" i="2" s="1"/>
  <c r="G140" i="1"/>
  <c r="H140" i="1" s="1"/>
  <c r="J140" i="1" s="1"/>
  <c r="D141" i="1" s="1"/>
  <c r="G141" i="4" l="1"/>
  <c r="H141" i="4" s="1"/>
  <c r="J141" i="4" s="1"/>
  <c r="D142" i="4" s="1"/>
  <c r="G138" i="2"/>
  <c r="H138" i="2" s="1"/>
  <c r="J138" i="2" s="1"/>
  <c r="D139" i="2" s="1"/>
  <c r="I141" i="1"/>
  <c r="K141" i="1" s="1"/>
  <c r="F141" i="1"/>
  <c r="I142" i="4" l="1"/>
  <c r="K142" i="4" s="1"/>
  <c r="F142" i="4"/>
  <c r="I139" i="2"/>
  <c r="K139" i="2" s="1"/>
  <c r="F139" i="2"/>
  <c r="G141" i="1"/>
  <c r="H141" i="1" s="1"/>
  <c r="J141" i="1" s="1"/>
  <c r="D142" i="1" s="1"/>
  <c r="G142" i="4" l="1"/>
  <c r="H142" i="4" s="1"/>
  <c r="J142" i="4" s="1"/>
  <c r="D143" i="4" s="1"/>
  <c r="G139" i="2"/>
  <c r="H139" i="2" s="1"/>
  <c r="J139" i="2" s="1"/>
  <c r="D140" i="2" s="1"/>
  <c r="F142" i="1"/>
  <c r="I142" i="1"/>
  <c r="K142" i="1" s="1"/>
  <c r="I143" i="4" l="1"/>
  <c r="K143" i="4" s="1"/>
  <c r="F143" i="4"/>
  <c r="I140" i="2"/>
  <c r="K140" i="2" s="1"/>
  <c r="F140" i="2"/>
  <c r="G142" i="1"/>
  <c r="H142" i="1" s="1"/>
  <c r="J142" i="1" s="1"/>
  <c r="D143" i="1" s="1"/>
  <c r="G143" i="4" l="1"/>
  <c r="H143" i="4" s="1"/>
  <c r="J143" i="4" s="1"/>
  <c r="D144" i="4" s="1"/>
  <c r="G140" i="2"/>
  <c r="H140" i="2" s="1"/>
  <c r="J140" i="2" s="1"/>
  <c r="D141" i="2" s="1"/>
  <c r="I143" i="1"/>
  <c r="K143" i="1" s="1"/>
  <c r="F143" i="1"/>
  <c r="F144" i="4" l="1"/>
  <c r="I144" i="4"/>
  <c r="K144" i="4" s="1"/>
  <c r="I141" i="2"/>
  <c r="K141" i="2" s="1"/>
  <c r="F141" i="2"/>
  <c r="G143" i="1"/>
  <c r="H143" i="1" s="1"/>
  <c r="J143" i="1" s="1"/>
  <c r="D144" i="1" s="1"/>
  <c r="G144" i="4" l="1"/>
  <c r="H144" i="4" s="1"/>
  <c r="J144" i="4" s="1"/>
  <c r="D145" i="4" s="1"/>
  <c r="G141" i="2"/>
  <c r="H141" i="2" s="1"/>
  <c r="J141" i="2" s="1"/>
  <c r="D142" i="2" s="1"/>
  <c r="I144" i="1"/>
  <c r="K144" i="1" s="1"/>
  <c r="F144" i="1"/>
  <c r="F145" i="4" l="1"/>
  <c r="I145" i="4"/>
  <c r="K145" i="4" s="1"/>
  <c r="F142" i="2"/>
  <c r="I142" i="2"/>
  <c r="K142" i="2" s="1"/>
  <c r="G144" i="1"/>
  <c r="H144" i="1" s="1"/>
  <c r="J144" i="1" s="1"/>
  <c r="D145" i="1" s="1"/>
  <c r="G145" i="4" l="1"/>
  <c r="H145" i="4" s="1"/>
  <c r="J145" i="4" s="1"/>
  <c r="D146" i="4" s="1"/>
  <c r="G142" i="2"/>
  <c r="H142" i="2" s="1"/>
  <c r="J142" i="2"/>
  <c r="D143" i="2" s="1"/>
  <c r="F145" i="1"/>
  <c r="I145" i="1"/>
  <c r="K145" i="1" s="1"/>
  <c r="I146" i="4" l="1"/>
  <c r="K146" i="4" s="1"/>
  <c r="F146" i="4"/>
  <c r="I143" i="2"/>
  <c r="K143" i="2" s="1"/>
  <c r="F143" i="2"/>
  <c r="G145" i="1"/>
  <c r="H145" i="1" s="1"/>
  <c r="J145" i="1" s="1"/>
  <c r="D146" i="1" s="1"/>
  <c r="G146" i="4" l="1"/>
  <c r="H146" i="4" s="1"/>
  <c r="J146" i="4" s="1"/>
  <c r="D147" i="4" s="1"/>
  <c r="G143" i="2"/>
  <c r="H143" i="2" s="1"/>
  <c r="J143" i="2" s="1"/>
  <c r="D144" i="2" s="1"/>
  <c r="F146" i="1"/>
  <c r="I146" i="1"/>
  <c r="K146" i="1" s="1"/>
  <c r="I147" i="4" l="1"/>
  <c r="K147" i="4" s="1"/>
  <c r="F147" i="4"/>
  <c r="I144" i="2"/>
  <c r="K144" i="2" s="1"/>
  <c r="F144" i="2"/>
  <c r="G146" i="1"/>
  <c r="H146" i="1" s="1"/>
  <c r="J146" i="1" s="1"/>
  <c r="D147" i="1" s="1"/>
  <c r="G147" i="4" l="1"/>
  <c r="H147" i="4" s="1"/>
  <c r="J147" i="4" s="1"/>
  <c r="D148" i="4" s="1"/>
  <c r="G144" i="2"/>
  <c r="H144" i="2" s="1"/>
  <c r="J144" i="2" s="1"/>
  <c r="D145" i="2" s="1"/>
  <c r="F147" i="1"/>
  <c r="I147" i="1"/>
  <c r="K147" i="1" s="1"/>
  <c r="F148" i="4" l="1"/>
  <c r="I148" i="4"/>
  <c r="K148" i="4" s="1"/>
  <c r="I145" i="2"/>
  <c r="K145" i="2" s="1"/>
  <c r="F145" i="2"/>
  <c r="G147" i="1"/>
  <c r="H147" i="1" s="1"/>
  <c r="J147" i="1" s="1"/>
  <c r="D148" i="1" s="1"/>
  <c r="G148" i="4" l="1"/>
  <c r="H148" i="4" s="1"/>
  <c r="J148" i="4" s="1"/>
  <c r="D149" i="4" s="1"/>
  <c r="G145" i="2"/>
  <c r="H145" i="2" s="1"/>
  <c r="J145" i="2" s="1"/>
  <c r="D146" i="2" s="1"/>
  <c r="I148" i="1"/>
  <c r="K148" i="1" s="1"/>
  <c r="F148" i="1"/>
  <c r="I149" i="4" l="1"/>
  <c r="K149" i="4" s="1"/>
  <c r="F149" i="4"/>
  <c r="F146" i="2"/>
  <c r="I146" i="2"/>
  <c r="K146" i="2" s="1"/>
  <c r="G148" i="1"/>
  <c r="H148" i="1" s="1"/>
  <c r="J148" i="1" s="1"/>
  <c r="D149" i="1" s="1"/>
  <c r="G149" i="4" l="1"/>
  <c r="H149" i="4" s="1"/>
  <c r="J149" i="4" s="1"/>
  <c r="D150" i="4" s="1"/>
  <c r="G146" i="2"/>
  <c r="H146" i="2" s="1"/>
  <c r="J146" i="2" s="1"/>
  <c r="D147" i="2" s="1"/>
  <c r="F149" i="1"/>
  <c r="I149" i="1"/>
  <c r="K149" i="1" s="1"/>
  <c r="F150" i="4" l="1"/>
  <c r="I150" i="4"/>
  <c r="K150" i="4" s="1"/>
  <c r="I147" i="2"/>
  <c r="K147" i="2" s="1"/>
  <c r="F147" i="2"/>
  <c r="G149" i="1"/>
  <c r="H149" i="1" s="1"/>
  <c r="J149" i="1" s="1"/>
  <c r="D150" i="1" s="1"/>
  <c r="G150" i="4" l="1"/>
  <c r="H150" i="4" s="1"/>
  <c r="J150" i="4" s="1"/>
  <c r="D151" i="4" s="1"/>
  <c r="G147" i="2"/>
  <c r="H147" i="2" s="1"/>
  <c r="J147" i="2" s="1"/>
  <c r="D148" i="2" s="1"/>
  <c r="I150" i="1"/>
  <c r="K150" i="1" s="1"/>
  <c r="F150" i="1"/>
  <c r="I151" i="4" l="1"/>
  <c r="K151" i="4" s="1"/>
  <c r="F151" i="4"/>
  <c r="F148" i="2"/>
  <c r="I148" i="2"/>
  <c r="K148" i="2" s="1"/>
  <c r="G150" i="1"/>
  <c r="H150" i="1" s="1"/>
  <c r="J150" i="1" s="1"/>
  <c r="D151" i="1" s="1"/>
  <c r="G151" i="4" l="1"/>
  <c r="H151" i="4" s="1"/>
  <c r="J151" i="4" s="1"/>
  <c r="D152" i="4" s="1"/>
  <c r="G148" i="2"/>
  <c r="H148" i="2" s="1"/>
  <c r="J148" i="2" s="1"/>
  <c r="D149" i="2" s="1"/>
  <c r="I151" i="1"/>
  <c r="K151" i="1" s="1"/>
  <c r="F151" i="1"/>
  <c r="I152" i="4" l="1"/>
  <c r="K152" i="4" s="1"/>
  <c r="F152" i="4"/>
  <c r="I149" i="2"/>
  <c r="K149" i="2" s="1"/>
  <c r="F149" i="2"/>
  <c r="G151" i="1"/>
  <c r="H151" i="1" s="1"/>
  <c r="J151" i="1" s="1"/>
  <c r="D152" i="1" s="1"/>
  <c r="G152" i="4" l="1"/>
  <c r="H152" i="4" s="1"/>
  <c r="J152" i="4" s="1"/>
  <c r="D153" i="4" s="1"/>
  <c r="G149" i="2"/>
  <c r="H149" i="2" s="1"/>
  <c r="J149" i="2"/>
  <c r="D150" i="2" s="1"/>
  <c r="I152" i="1"/>
  <c r="K152" i="1" s="1"/>
  <c r="F152" i="1"/>
  <c r="I153" i="4" l="1"/>
  <c r="K153" i="4" s="1"/>
  <c r="F153" i="4"/>
  <c r="I150" i="2"/>
  <c r="K150" i="2" s="1"/>
  <c r="F150" i="2"/>
  <c r="G152" i="1"/>
  <c r="H152" i="1" s="1"/>
  <c r="J152" i="1" s="1"/>
  <c r="D153" i="1" s="1"/>
  <c r="G153" i="4" l="1"/>
  <c r="H153" i="4" s="1"/>
  <c r="J153" i="4" s="1"/>
  <c r="D154" i="4" s="1"/>
  <c r="G150" i="2"/>
  <c r="H150" i="2" s="1"/>
  <c r="J150" i="2" s="1"/>
  <c r="D151" i="2" s="1"/>
  <c r="I153" i="1"/>
  <c r="K153" i="1" s="1"/>
  <c r="F153" i="1"/>
  <c r="I154" i="4" l="1"/>
  <c r="K154" i="4" s="1"/>
  <c r="F154" i="4"/>
  <c r="I151" i="2"/>
  <c r="K151" i="2" s="1"/>
  <c r="F151" i="2"/>
  <c r="G153" i="1"/>
  <c r="H153" i="1" s="1"/>
  <c r="J153" i="1" s="1"/>
  <c r="D154" i="1" s="1"/>
  <c r="G154" i="4" l="1"/>
  <c r="H154" i="4" s="1"/>
  <c r="J154" i="4" s="1"/>
  <c r="D155" i="4" s="1"/>
  <c r="G151" i="2"/>
  <c r="H151" i="2" s="1"/>
  <c r="J151" i="2" s="1"/>
  <c r="D152" i="2" s="1"/>
  <c r="I154" i="1"/>
  <c r="K154" i="1" s="1"/>
  <c r="F154" i="1"/>
  <c r="F155" i="4" l="1"/>
  <c r="I155" i="4"/>
  <c r="K155" i="4" s="1"/>
  <c r="I152" i="2"/>
  <c r="K152" i="2" s="1"/>
  <c r="F152" i="2"/>
  <c r="G154" i="1"/>
  <c r="H154" i="1" s="1"/>
  <c r="J154" i="1" s="1"/>
  <c r="D155" i="1" s="1"/>
  <c r="G155" i="4" l="1"/>
  <c r="H155" i="4" s="1"/>
  <c r="J155" i="4" s="1"/>
  <c r="D156" i="4" s="1"/>
  <c r="G152" i="2"/>
  <c r="H152" i="2" s="1"/>
  <c r="J152" i="2" s="1"/>
  <c r="D153" i="2" s="1"/>
  <c r="F155" i="1"/>
  <c r="I155" i="1"/>
  <c r="K155" i="1" s="1"/>
  <c r="I156" i="4" l="1"/>
  <c r="K156" i="4" s="1"/>
  <c r="F156" i="4"/>
  <c r="I153" i="2"/>
  <c r="K153" i="2" s="1"/>
  <c r="F153" i="2"/>
  <c r="G155" i="1"/>
  <c r="H155" i="1" s="1"/>
  <c r="J155" i="1" s="1"/>
  <c r="D156" i="1" s="1"/>
  <c r="G156" i="4" l="1"/>
  <c r="H156" i="4" s="1"/>
  <c r="J156" i="4" s="1"/>
  <c r="D157" i="4" s="1"/>
  <c r="G153" i="2"/>
  <c r="H153" i="2" s="1"/>
  <c r="J153" i="2" s="1"/>
  <c r="D154" i="2" s="1"/>
  <c r="F156" i="1"/>
  <c r="I156" i="1"/>
  <c r="K156" i="1" s="1"/>
  <c r="F157" i="4" l="1"/>
  <c r="I157" i="4"/>
  <c r="K157" i="4" s="1"/>
  <c r="I154" i="2"/>
  <c r="K154" i="2" s="1"/>
  <c r="F154" i="2"/>
  <c r="G156" i="1"/>
  <c r="H156" i="1" s="1"/>
  <c r="J156" i="1" s="1"/>
  <c r="D157" i="1" s="1"/>
  <c r="G157" i="4" l="1"/>
  <c r="H157" i="4" s="1"/>
  <c r="J157" i="4" s="1"/>
  <c r="D158" i="4" s="1"/>
  <c r="G154" i="2"/>
  <c r="H154" i="2" s="1"/>
  <c r="J154" i="2" s="1"/>
  <c r="D155" i="2" s="1"/>
  <c r="F157" i="1"/>
  <c r="I157" i="1"/>
  <c r="K157" i="1" s="1"/>
  <c r="F158" i="4" l="1"/>
  <c r="I158" i="4"/>
  <c r="K158" i="4" s="1"/>
  <c r="I155" i="2"/>
  <c r="K155" i="2" s="1"/>
  <c r="F155" i="2"/>
  <c r="G157" i="1"/>
  <c r="H157" i="1" s="1"/>
  <c r="J157" i="1" s="1"/>
  <c r="D158" i="1" s="1"/>
  <c r="G158" i="4" l="1"/>
  <c r="H158" i="4" s="1"/>
  <c r="J158" i="4" s="1"/>
  <c r="D159" i="4" s="1"/>
  <c r="G155" i="2"/>
  <c r="H155" i="2" s="1"/>
  <c r="J155" i="2"/>
  <c r="D156" i="2" s="1"/>
  <c r="F158" i="1"/>
  <c r="I158" i="1"/>
  <c r="K158" i="1" s="1"/>
  <c r="F159" i="4" l="1"/>
  <c r="I159" i="4"/>
  <c r="K159" i="4" s="1"/>
  <c r="I156" i="2"/>
  <c r="K156" i="2" s="1"/>
  <c r="F156" i="2"/>
  <c r="G158" i="1"/>
  <c r="H158" i="1" s="1"/>
  <c r="J158" i="1" s="1"/>
  <c r="D159" i="1" s="1"/>
  <c r="G159" i="4" l="1"/>
  <c r="H159" i="4" s="1"/>
  <c r="J159" i="4" s="1"/>
  <c r="D160" i="4" s="1"/>
  <c r="G156" i="2"/>
  <c r="H156" i="2" s="1"/>
  <c r="J156" i="2" s="1"/>
  <c r="D157" i="2" s="1"/>
  <c r="F159" i="1"/>
  <c r="I159" i="1"/>
  <c r="K159" i="1" s="1"/>
  <c r="I160" i="4" l="1"/>
  <c r="K160" i="4" s="1"/>
  <c r="F160" i="4"/>
  <c r="I157" i="2"/>
  <c r="K157" i="2" s="1"/>
  <c r="F157" i="2"/>
  <c r="G159" i="1"/>
  <c r="H159" i="1" s="1"/>
  <c r="J159" i="1" s="1"/>
  <c r="D160" i="1" s="1"/>
  <c r="G160" i="4" l="1"/>
  <c r="H160" i="4" s="1"/>
  <c r="J160" i="4" s="1"/>
  <c r="D161" i="4" s="1"/>
  <c r="G157" i="2"/>
  <c r="H157" i="2" s="1"/>
  <c r="J157" i="2" s="1"/>
  <c r="D158" i="2" s="1"/>
  <c r="F160" i="1"/>
  <c r="I160" i="1"/>
  <c r="K160" i="1" s="1"/>
  <c r="I161" i="4" l="1"/>
  <c r="K161" i="4" s="1"/>
  <c r="F161" i="4"/>
  <c r="I158" i="2"/>
  <c r="K158" i="2" s="1"/>
  <c r="F158" i="2"/>
  <c r="G160" i="1"/>
  <c r="H160" i="1" s="1"/>
  <c r="J160" i="1" s="1"/>
  <c r="D161" i="1" s="1"/>
  <c r="G161" i="4" l="1"/>
  <c r="H161" i="4" s="1"/>
  <c r="J161" i="4" s="1"/>
  <c r="D162" i="4" s="1"/>
  <c r="G158" i="2"/>
  <c r="H158" i="2" s="1"/>
  <c r="J158" i="2" s="1"/>
  <c r="D159" i="2" s="1"/>
  <c r="I161" i="1"/>
  <c r="K161" i="1" s="1"/>
  <c r="F161" i="1"/>
  <c r="I162" i="4" l="1"/>
  <c r="K162" i="4" s="1"/>
  <c r="F162" i="4"/>
  <c r="I159" i="2"/>
  <c r="K159" i="2" s="1"/>
  <c r="F159" i="2"/>
  <c r="G161" i="1"/>
  <c r="H161" i="1" s="1"/>
  <c r="J161" i="1" s="1"/>
  <c r="D162" i="1" s="1"/>
  <c r="G162" i="4" l="1"/>
  <c r="H162" i="4" s="1"/>
  <c r="J162" i="4" s="1"/>
  <c r="D163" i="4" s="1"/>
  <c r="G159" i="2"/>
  <c r="H159" i="2" s="1"/>
  <c r="J159" i="2" s="1"/>
  <c r="D160" i="2" s="1"/>
  <c r="I162" i="1"/>
  <c r="K162" i="1" s="1"/>
  <c r="F162" i="1"/>
  <c r="F163" i="4" l="1"/>
  <c r="I163" i="4"/>
  <c r="K163" i="4" s="1"/>
  <c r="I160" i="2"/>
  <c r="K160" i="2" s="1"/>
  <c r="F160" i="2"/>
  <c r="G162" i="1"/>
  <c r="H162" i="1" s="1"/>
  <c r="J162" i="1" s="1"/>
  <c r="D163" i="1" s="1"/>
  <c r="G163" i="4" l="1"/>
  <c r="H163" i="4" s="1"/>
  <c r="J163" i="4" s="1"/>
  <c r="D164" i="4" s="1"/>
  <c r="G160" i="2"/>
  <c r="H160" i="2" s="1"/>
  <c r="J160" i="2" s="1"/>
  <c r="D161" i="2" s="1"/>
  <c r="I163" i="1"/>
  <c r="K163" i="1" s="1"/>
  <c r="F163" i="1"/>
  <c r="I164" i="4" l="1"/>
  <c r="K164" i="4" s="1"/>
  <c r="F164" i="4"/>
  <c r="I161" i="2"/>
  <c r="K161" i="2" s="1"/>
  <c r="F161" i="2"/>
  <c r="G163" i="1"/>
  <c r="H163" i="1" s="1"/>
  <c r="J163" i="1" s="1"/>
  <c r="D164" i="1" s="1"/>
  <c r="G164" i="4" l="1"/>
  <c r="H164" i="4" s="1"/>
  <c r="J164" i="4" s="1"/>
  <c r="D165" i="4" s="1"/>
  <c r="G161" i="2"/>
  <c r="H161" i="2" s="1"/>
  <c r="J161" i="2" s="1"/>
  <c r="D162" i="2" s="1"/>
  <c r="I164" i="1"/>
  <c r="K164" i="1" s="1"/>
  <c r="F164" i="1"/>
  <c r="F165" i="4" l="1"/>
  <c r="I165" i="4"/>
  <c r="K165" i="4" s="1"/>
  <c r="I162" i="2"/>
  <c r="K162" i="2" s="1"/>
  <c r="F162" i="2"/>
  <c r="G164" i="1"/>
  <c r="H164" i="1" s="1"/>
  <c r="J164" i="1" s="1"/>
  <c r="D165" i="1" s="1"/>
  <c r="G165" i="4" l="1"/>
  <c r="H165" i="4" s="1"/>
  <c r="J165" i="4" s="1"/>
  <c r="D166" i="4" s="1"/>
  <c r="G162" i="2"/>
  <c r="H162" i="2" s="1"/>
  <c r="J162" i="2" s="1"/>
  <c r="D163" i="2" s="1"/>
  <c r="I165" i="1"/>
  <c r="K165" i="1" s="1"/>
  <c r="F165" i="1"/>
  <c r="I166" i="4" l="1"/>
  <c r="K166" i="4" s="1"/>
  <c r="F166" i="4"/>
  <c r="I163" i="2"/>
  <c r="K163" i="2" s="1"/>
  <c r="F163" i="2"/>
  <c r="G165" i="1"/>
  <c r="H165" i="1" s="1"/>
  <c r="J165" i="1" s="1"/>
  <c r="D166" i="1" s="1"/>
  <c r="G166" i="4" l="1"/>
  <c r="H166" i="4" s="1"/>
  <c r="J166" i="4" s="1"/>
  <c r="D167" i="4" s="1"/>
  <c r="G163" i="2"/>
  <c r="H163" i="2" s="1"/>
  <c r="J163" i="2" s="1"/>
  <c r="D164" i="2" s="1"/>
  <c r="I166" i="1"/>
  <c r="K166" i="1" s="1"/>
  <c r="F166" i="1"/>
  <c r="F167" i="4" l="1"/>
  <c r="I167" i="4"/>
  <c r="K167" i="4" s="1"/>
  <c r="F164" i="2"/>
  <c r="I164" i="2"/>
  <c r="K164" i="2" s="1"/>
  <c r="G166" i="1"/>
  <c r="H166" i="1" s="1"/>
  <c r="J166" i="1" s="1"/>
  <c r="D167" i="1" s="1"/>
  <c r="G167" i="4" l="1"/>
  <c r="H167" i="4" s="1"/>
  <c r="J167" i="4" s="1"/>
  <c r="D168" i="4" s="1"/>
  <c r="G164" i="2"/>
  <c r="H164" i="2" s="1"/>
  <c r="J164" i="2"/>
  <c r="D165" i="2" s="1"/>
  <c r="F167" i="1"/>
  <c r="I167" i="1"/>
  <c r="K167" i="1" s="1"/>
  <c r="F168" i="4" l="1"/>
  <c r="I168" i="4"/>
  <c r="K168" i="4" s="1"/>
  <c r="I165" i="2"/>
  <c r="K165" i="2" s="1"/>
  <c r="F165" i="2"/>
  <c r="G167" i="1"/>
  <c r="H167" i="1" s="1"/>
  <c r="J167" i="1" s="1"/>
  <c r="D168" i="1" s="1"/>
  <c r="G168" i="4" l="1"/>
  <c r="H168" i="4" s="1"/>
  <c r="J168" i="4" s="1"/>
  <c r="D169" i="4" s="1"/>
  <c r="G165" i="2"/>
  <c r="H165" i="2" s="1"/>
  <c r="J165" i="2" s="1"/>
  <c r="D166" i="2" s="1"/>
  <c r="F168" i="1"/>
  <c r="I168" i="1"/>
  <c r="K168" i="1" s="1"/>
  <c r="F169" i="4" l="1"/>
  <c r="I169" i="4"/>
  <c r="K169" i="4" s="1"/>
  <c r="I166" i="2"/>
  <c r="K166" i="2" s="1"/>
  <c r="F166" i="2"/>
  <c r="G168" i="1"/>
  <c r="H168" i="1" s="1"/>
  <c r="J168" i="1" s="1"/>
  <c r="D169" i="1" s="1"/>
  <c r="G169" i="4" l="1"/>
  <c r="H169" i="4" s="1"/>
  <c r="J169" i="4" s="1"/>
  <c r="D170" i="4" s="1"/>
  <c r="G166" i="2"/>
  <c r="H166" i="2" s="1"/>
  <c r="J166" i="2" s="1"/>
  <c r="D167" i="2" s="1"/>
  <c r="I169" i="1"/>
  <c r="K169" i="1" s="1"/>
  <c r="F169" i="1"/>
  <c r="I170" i="4" l="1"/>
  <c r="K170" i="4" s="1"/>
  <c r="F170" i="4"/>
  <c r="I167" i="2"/>
  <c r="K167" i="2" s="1"/>
  <c r="F167" i="2"/>
  <c r="G169" i="1"/>
  <c r="H169" i="1" s="1"/>
  <c r="J169" i="1" s="1"/>
  <c r="D170" i="1" s="1"/>
  <c r="G170" i="4" l="1"/>
  <c r="H170" i="4" s="1"/>
  <c r="J170" i="4" s="1"/>
  <c r="D171" i="4" s="1"/>
  <c r="G167" i="2"/>
  <c r="H167" i="2" s="1"/>
  <c r="J167" i="2" s="1"/>
  <c r="D168" i="2" s="1"/>
  <c r="I170" i="1"/>
  <c r="K170" i="1" s="1"/>
  <c r="F170" i="1"/>
  <c r="I171" i="4" l="1"/>
  <c r="K171" i="4" s="1"/>
  <c r="F171" i="4"/>
  <c r="I168" i="2"/>
  <c r="K168" i="2" s="1"/>
  <c r="F168" i="2"/>
  <c r="G170" i="1"/>
  <c r="H170" i="1" s="1"/>
  <c r="J170" i="1" s="1"/>
  <c r="D171" i="1" s="1"/>
  <c r="G171" i="4" l="1"/>
  <c r="H171" i="4" s="1"/>
  <c r="J171" i="4" s="1"/>
  <c r="D172" i="4" s="1"/>
  <c r="G168" i="2"/>
  <c r="H168" i="2" s="1"/>
  <c r="J168" i="2" s="1"/>
  <c r="D169" i="2" s="1"/>
  <c r="I171" i="1"/>
  <c r="K171" i="1" s="1"/>
  <c r="F171" i="1"/>
  <c r="F172" i="4" l="1"/>
  <c r="I172" i="4"/>
  <c r="K172" i="4" s="1"/>
  <c r="I169" i="2"/>
  <c r="K169" i="2" s="1"/>
  <c r="F169" i="2"/>
  <c r="G171" i="1"/>
  <c r="H171" i="1" s="1"/>
  <c r="J171" i="1" s="1"/>
  <c r="D172" i="1" s="1"/>
  <c r="G172" i="4" l="1"/>
  <c r="H172" i="4" s="1"/>
  <c r="J172" i="4" s="1"/>
  <c r="D173" i="4" s="1"/>
  <c r="G169" i="2"/>
  <c r="H169" i="2" s="1"/>
  <c r="J169" i="2" s="1"/>
  <c r="D170" i="2" s="1"/>
  <c r="I172" i="1"/>
  <c r="K172" i="1" s="1"/>
  <c r="F172" i="1"/>
  <c r="I173" i="4" l="1"/>
  <c r="K173" i="4" s="1"/>
  <c r="F173" i="4"/>
  <c r="F170" i="2"/>
  <c r="I170" i="2"/>
  <c r="K170" i="2" s="1"/>
  <c r="G172" i="1"/>
  <c r="H172" i="1" s="1"/>
  <c r="J172" i="1" s="1"/>
  <c r="D173" i="1" s="1"/>
  <c r="G173" i="4" l="1"/>
  <c r="H173" i="4" s="1"/>
  <c r="J173" i="4" s="1"/>
  <c r="D174" i="4" s="1"/>
  <c r="G170" i="2"/>
  <c r="H170" i="2" s="1"/>
  <c r="J170" i="2" s="1"/>
  <c r="D171" i="2" s="1"/>
  <c r="F173" i="1"/>
  <c r="I173" i="1"/>
  <c r="K173" i="1" s="1"/>
  <c r="I174" i="4" l="1"/>
  <c r="K174" i="4" s="1"/>
  <c r="F174" i="4"/>
  <c r="I171" i="2"/>
  <c r="K171" i="2" s="1"/>
  <c r="F171" i="2"/>
  <c r="G173" i="1"/>
  <c r="H173" i="1" s="1"/>
  <c r="J173" i="1" s="1"/>
  <c r="D174" i="1" s="1"/>
  <c r="G174" i="4" l="1"/>
  <c r="H174" i="4" s="1"/>
  <c r="J174" i="4" s="1"/>
  <c r="D175" i="4" s="1"/>
  <c r="G171" i="2"/>
  <c r="H171" i="2" s="1"/>
  <c r="J171" i="2" s="1"/>
  <c r="D172" i="2" s="1"/>
  <c r="F174" i="1"/>
  <c r="I174" i="1"/>
  <c r="K174" i="1" s="1"/>
  <c r="I175" i="4" l="1"/>
  <c r="K175" i="4" s="1"/>
  <c r="F175" i="4"/>
  <c r="I172" i="2"/>
  <c r="K172" i="2" s="1"/>
  <c r="F172" i="2"/>
  <c r="G174" i="1"/>
  <c r="H174" i="1" s="1"/>
  <c r="J174" i="1" s="1"/>
  <c r="D175" i="1" s="1"/>
  <c r="G175" i="4" l="1"/>
  <c r="H175" i="4" s="1"/>
  <c r="J175" i="4" s="1"/>
  <c r="D176" i="4" s="1"/>
  <c r="G172" i="2"/>
  <c r="H172" i="2" s="1"/>
  <c r="J172" i="2" s="1"/>
  <c r="D173" i="2" s="1"/>
  <c r="I175" i="1"/>
  <c r="K175" i="1" s="1"/>
  <c r="F175" i="1"/>
  <c r="F176" i="4" l="1"/>
  <c r="I176" i="4"/>
  <c r="K176" i="4" s="1"/>
  <c r="I173" i="2"/>
  <c r="K173" i="2" s="1"/>
  <c r="F173" i="2"/>
  <c r="G175" i="1"/>
  <c r="H175" i="1" s="1"/>
  <c r="J175" i="1" s="1"/>
  <c r="D176" i="1" s="1"/>
  <c r="G176" i="4" l="1"/>
  <c r="H176" i="4" s="1"/>
  <c r="J176" i="4" s="1"/>
  <c r="D177" i="4" s="1"/>
  <c r="G173" i="2"/>
  <c r="H173" i="2" s="1"/>
  <c r="J173" i="2" s="1"/>
  <c r="D174" i="2" s="1"/>
  <c r="F176" i="1"/>
  <c r="I176" i="1"/>
  <c r="K176" i="1" s="1"/>
  <c r="F177" i="4" l="1"/>
  <c r="I177" i="4"/>
  <c r="K177" i="4" s="1"/>
  <c r="I174" i="2"/>
  <c r="K174" i="2" s="1"/>
  <c r="F174" i="2"/>
  <c r="G176" i="1"/>
  <c r="H176" i="1" s="1"/>
  <c r="J176" i="1" s="1"/>
  <c r="D177" i="1" s="1"/>
  <c r="G177" i="4" l="1"/>
  <c r="H177" i="4" s="1"/>
  <c r="J177" i="4" s="1"/>
  <c r="D178" i="4" s="1"/>
  <c r="G174" i="2"/>
  <c r="H174" i="2" s="1"/>
  <c r="J174" i="2" s="1"/>
  <c r="D175" i="2" s="1"/>
  <c r="F177" i="1"/>
  <c r="I177" i="1"/>
  <c r="K177" i="1" s="1"/>
  <c r="I178" i="4" l="1"/>
  <c r="K178" i="4" s="1"/>
  <c r="F178" i="4"/>
  <c r="I175" i="2"/>
  <c r="K175" i="2" s="1"/>
  <c r="F175" i="2"/>
  <c r="G177" i="1"/>
  <c r="H177" i="1" s="1"/>
  <c r="J177" i="1" s="1"/>
  <c r="D178" i="1" s="1"/>
  <c r="G178" i="4" l="1"/>
  <c r="H178" i="4" s="1"/>
  <c r="J178" i="4" s="1"/>
  <c r="D179" i="4" s="1"/>
  <c r="G175" i="2"/>
  <c r="H175" i="2" s="1"/>
  <c r="J175" i="2" s="1"/>
  <c r="D176" i="2" s="1"/>
  <c r="F178" i="1"/>
  <c r="I178" i="1"/>
  <c r="K178" i="1" s="1"/>
  <c r="I179" i="4" l="1"/>
  <c r="K179" i="4" s="1"/>
  <c r="F179" i="4"/>
  <c r="F176" i="2"/>
  <c r="I176" i="2"/>
  <c r="K176" i="2" s="1"/>
  <c r="G178" i="1"/>
  <c r="H178" i="1" s="1"/>
  <c r="J178" i="1" s="1"/>
  <c r="D179" i="1" s="1"/>
  <c r="G179" i="4" l="1"/>
  <c r="H179" i="4" s="1"/>
  <c r="J179" i="4" s="1"/>
  <c r="D180" i="4" s="1"/>
  <c r="G176" i="2"/>
  <c r="H176" i="2" s="1"/>
  <c r="J176" i="2" s="1"/>
  <c r="D177" i="2" s="1"/>
  <c r="I179" i="1"/>
  <c r="K179" i="1" s="1"/>
  <c r="F179" i="1"/>
  <c r="F180" i="4" l="1"/>
  <c r="I180" i="4"/>
  <c r="K180" i="4" s="1"/>
  <c r="I177" i="2"/>
  <c r="K177" i="2" s="1"/>
  <c r="F177" i="2"/>
  <c r="G179" i="1"/>
  <c r="H179" i="1" s="1"/>
  <c r="J179" i="1" s="1"/>
  <c r="D180" i="1" s="1"/>
  <c r="G180" i="4" l="1"/>
  <c r="H180" i="4" s="1"/>
  <c r="J180" i="4" s="1"/>
  <c r="D181" i="4" s="1"/>
  <c r="G177" i="2"/>
  <c r="H177" i="2" s="1"/>
  <c r="J177" i="2" s="1"/>
  <c r="D178" i="2" s="1"/>
  <c r="I180" i="1"/>
  <c r="K180" i="1" s="1"/>
  <c r="F180" i="1"/>
  <c r="I181" i="4" l="1"/>
  <c r="K181" i="4" s="1"/>
  <c r="F181" i="4"/>
  <c r="I178" i="2"/>
  <c r="K178" i="2" s="1"/>
  <c r="F178" i="2"/>
  <c r="G180" i="1"/>
  <c r="H180" i="1" s="1"/>
  <c r="J180" i="1" s="1"/>
  <c r="D181" i="1" s="1"/>
  <c r="G181" i="4" l="1"/>
  <c r="H181" i="4" s="1"/>
  <c r="J181" i="4" s="1"/>
  <c r="D182" i="4" s="1"/>
  <c r="G178" i="2"/>
  <c r="H178" i="2" s="1"/>
  <c r="J178" i="2" s="1"/>
  <c r="D179" i="2" s="1"/>
  <c r="F181" i="1"/>
  <c r="I181" i="1"/>
  <c r="K181" i="1" s="1"/>
  <c r="F182" i="4" l="1"/>
  <c r="I182" i="4"/>
  <c r="K182" i="4" s="1"/>
  <c r="I179" i="2"/>
  <c r="K179" i="2" s="1"/>
  <c r="F179" i="2"/>
  <c r="G181" i="1"/>
  <c r="H181" i="1" s="1"/>
  <c r="J181" i="1" s="1"/>
  <c r="D182" i="1" s="1"/>
  <c r="G182" i="4" l="1"/>
  <c r="H182" i="4" s="1"/>
  <c r="J182" i="4" s="1"/>
  <c r="D183" i="4" s="1"/>
  <c r="G179" i="2"/>
  <c r="H179" i="2" s="1"/>
  <c r="J179" i="2" s="1"/>
  <c r="D180" i="2" s="1"/>
  <c r="I182" i="1"/>
  <c r="K182" i="1" s="1"/>
  <c r="F182" i="1"/>
  <c r="I183" i="4" l="1"/>
  <c r="K183" i="4" s="1"/>
  <c r="F183" i="4"/>
  <c r="I180" i="2"/>
  <c r="K180" i="2" s="1"/>
  <c r="F180" i="2"/>
  <c r="G182" i="1"/>
  <c r="H182" i="1" s="1"/>
  <c r="J182" i="1" s="1"/>
  <c r="D183" i="1" s="1"/>
  <c r="G183" i="4" l="1"/>
  <c r="H183" i="4" s="1"/>
  <c r="J183" i="4" s="1"/>
  <c r="D184" i="4" s="1"/>
  <c r="G180" i="2"/>
  <c r="H180" i="2" s="1"/>
  <c r="J180" i="2" s="1"/>
  <c r="D181" i="2" s="1"/>
  <c r="F183" i="1"/>
  <c r="I183" i="1"/>
  <c r="K183" i="1" s="1"/>
  <c r="I184" i="4" l="1"/>
  <c r="K184" i="4" s="1"/>
  <c r="F184" i="4"/>
  <c r="I181" i="2"/>
  <c r="K181" i="2" s="1"/>
  <c r="F181" i="2"/>
  <c r="G183" i="1"/>
  <c r="H183" i="1" s="1"/>
  <c r="J183" i="1" s="1"/>
  <c r="D184" i="1" s="1"/>
  <c r="G184" i="4" l="1"/>
  <c r="H184" i="4" s="1"/>
  <c r="J184" i="4" s="1"/>
  <c r="D185" i="4" s="1"/>
  <c r="G181" i="2"/>
  <c r="H181" i="2" s="1"/>
  <c r="J181" i="2" s="1"/>
  <c r="D182" i="2" s="1"/>
  <c r="I184" i="1"/>
  <c r="K184" i="1" s="1"/>
  <c r="F184" i="1"/>
  <c r="I185" i="4" l="1"/>
  <c r="K185" i="4" s="1"/>
  <c r="F185" i="4"/>
  <c r="I182" i="2"/>
  <c r="K182" i="2" s="1"/>
  <c r="F182" i="2"/>
  <c r="G184" i="1"/>
  <c r="H184" i="1" s="1"/>
  <c r="J184" i="1" s="1"/>
  <c r="D185" i="1" s="1"/>
  <c r="G185" i="4" l="1"/>
  <c r="H185" i="4" s="1"/>
  <c r="J185" i="4" s="1"/>
  <c r="D186" i="4" s="1"/>
  <c r="G182" i="2"/>
  <c r="H182" i="2" s="1"/>
  <c r="J182" i="2" s="1"/>
  <c r="D183" i="2" s="1"/>
  <c r="F185" i="1"/>
  <c r="I185" i="1"/>
  <c r="K185" i="1" s="1"/>
  <c r="I186" i="4" l="1"/>
  <c r="K186" i="4" s="1"/>
  <c r="F186" i="4"/>
  <c r="I183" i="2"/>
  <c r="K183" i="2" s="1"/>
  <c r="F183" i="2"/>
  <c r="G185" i="1"/>
  <c r="H185" i="1" s="1"/>
  <c r="J185" i="1" s="1"/>
  <c r="D186" i="1" s="1"/>
  <c r="G186" i="4" l="1"/>
  <c r="H186" i="4" s="1"/>
  <c r="J186" i="4" s="1"/>
  <c r="D187" i="4" s="1"/>
  <c r="G183" i="2"/>
  <c r="H183" i="2" s="1"/>
  <c r="J183" i="2" s="1"/>
  <c r="D184" i="2" s="1"/>
  <c r="I186" i="1"/>
  <c r="K186" i="1" s="1"/>
  <c r="F186" i="1"/>
  <c r="F187" i="4" l="1"/>
  <c r="I187" i="4"/>
  <c r="K187" i="4" s="1"/>
  <c r="I184" i="2"/>
  <c r="K184" i="2" s="1"/>
  <c r="F184" i="2"/>
  <c r="G186" i="1"/>
  <c r="H186" i="1" s="1"/>
  <c r="J186" i="1" s="1"/>
  <c r="D187" i="1" s="1"/>
  <c r="G187" i="4" l="1"/>
  <c r="H187" i="4" s="1"/>
  <c r="J187" i="4" s="1"/>
  <c r="D188" i="4" s="1"/>
  <c r="G184" i="2"/>
  <c r="H184" i="2" s="1"/>
  <c r="J184" i="2" s="1"/>
  <c r="D185" i="2" s="1"/>
  <c r="I187" i="1"/>
  <c r="K187" i="1" s="1"/>
  <c r="F187" i="1"/>
  <c r="I188" i="4" l="1"/>
  <c r="K188" i="4" s="1"/>
  <c r="F188" i="4"/>
  <c r="I185" i="2"/>
  <c r="K185" i="2" s="1"/>
  <c r="F185" i="2"/>
  <c r="G187" i="1"/>
  <c r="H187" i="1" s="1"/>
  <c r="J187" i="1" s="1"/>
  <c r="D188" i="1" s="1"/>
  <c r="G188" i="4" l="1"/>
  <c r="H188" i="4" s="1"/>
  <c r="J188" i="4" s="1"/>
  <c r="D189" i="4" s="1"/>
  <c r="G185" i="2"/>
  <c r="H185" i="2" s="1"/>
  <c r="J185" i="2" s="1"/>
  <c r="D186" i="2" s="1"/>
  <c r="F188" i="1"/>
  <c r="I188" i="1"/>
  <c r="K188" i="1" s="1"/>
  <c r="F189" i="4" l="1"/>
  <c r="I189" i="4"/>
  <c r="K189" i="4" s="1"/>
  <c r="F186" i="2"/>
  <c r="I186" i="2"/>
  <c r="K186" i="2" s="1"/>
  <c r="G188" i="1"/>
  <c r="H188" i="1" s="1"/>
  <c r="J188" i="1" s="1"/>
  <c r="D189" i="1" s="1"/>
  <c r="G189" i="4" l="1"/>
  <c r="H189" i="4" s="1"/>
  <c r="J189" i="4" s="1"/>
  <c r="D190" i="4" s="1"/>
  <c r="G186" i="2"/>
  <c r="H186" i="2" s="1"/>
  <c r="J186" i="2" s="1"/>
  <c r="D187" i="2" s="1"/>
  <c r="I189" i="1"/>
  <c r="K189" i="1" s="1"/>
  <c r="F189" i="1"/>
  <c r="F190" i="4" l="1"/>
  <c r="I190" i="4"/>
  <c r="K190" i="4" s="1"/>
  <c r="I187" i="2"/>
  <c r="K187" i="2" s="1"/>
  <c r="F187" i="2"/>
  <c r="G189" i="1"/>
  <c r="H189" i="1" s="1"/>
  <c r="J189" i="1" s="1"/>
  <c r="D190" i="1" s="1"/>
  <c r="G190" i="4" l="1"/>
  <c r="H190" i="4" s="1"/>
  <c r="J190" i="4" s="1"/>
  <c r="D191" i="4" s="1"/>
  <c r="G187" i="2"/>
  <c r="H187" i="2" s="1"/>
  <c r="J187" i="2" s="1"/>
  <c r="D188" i="2" s="1"/>
  <c r="I190" i="1"/>
  <c r="K190" i="1" s="1"/>
  <c r="F190" i="1"/>
  <c r="F191" i="4" l="1"/>
  <c r="I191" i="4"/>
  <c r="K191" i="4" s="1"/>
  <c r="I188" i="2"/>
  <c r="K188" i="2" s="1"/>
  <c r="F188" i="2"/>
  <c r="G190" i="1"/>
  <c r="H190" i="1" s="1"/>
  <c r="J190" i="1" s="1"/>
  <c r="D191" i="1" s="1"/>
  <c r="G191" i="4" l="1"/>
  <c r="H191" i="4" s="1"/>
  <c r="J191" i="4" s="1"/>
  <c r="D192" i="4" s="1"/>
  <c r="G188" i="2"/>
  <c r="H188" i="2" s="1"/>
  <c r="J188" i="2" s="1"/>
  <c r="D189" i="2" s="1"/>
  <c r="F191" i="1"/>
  <c r="I191" i="1"/>
  <c r="K191" i="1" s="1"/>
  <c r="F192" i="4" l="1"/>
  <c r="I192" i="4"/>
  <c r="K192" i="4" s="1"/>
  <c r="I189" i="2"/>
  <c r="K189" i="2" s="1"/>
  <c r="F189" i="2"/>
  <c r="G191" i="1"/>
  <c r="H191" i="1" s="1"/>
  <c r="J191" i="1" s="1"/>
  <c r="D192" i="1" s="1"/>
  <c r="G192" i="4" l="1"/>
  <c r="H192" i="4" s="1"/>
  <c r="J192" i="4" s="1"/>
  <c r="D193" i="4" s="1"/>
  <c r="G189" i="2"/>
  <c r="H189" i="2" s="1"/>
  <c r="J189" i="2" s="1"/>
  <c r="D190" i="2" s="1"/>
  <c r="I192" i="1"/>
  <c r="K192" i="1" s="1"/>
  <c r="F192" i="1"/>
  <c r="F193" i="4" l="1"/>
  <c r="I193" i="4"/>
  <c r="K193" i="4" s="1"/>
  <c r="I190" i="2"/>
  <c r="K190" i="2" s="1"/>
  <c r="F190" i="2"/>
  <c r="G192" i="1"/>
  <c r="H192" i="1" s="1"/>
  <c r="J192" i="1" s="1"/>
  <c r="D193" i="1" s="1"/>
  <c r="G193" i="4" l="1"/>
  <c r="H193" i="4" s="1"/>
  <c r="J193" i="4" s="1"/>
  <c r="D194" i="4" s="1"/>
  <c r="G190" i="2"/>
  <c r="H190" i="2" s="1"/>
  <c r="J190" i="2" s="1"/>
  <c r="D191" i="2" s="1"/>
  <c r="I193" i="1"/>
  <c r="K193" i="1" s="1"/>
  <c r="F193" i="1"/>
  <c r="I194" i="4" l="1"/>
  <c r="K194" i="4" s="1"/>
  <c r="F194" i="4"/>
  <c r="I191" i="2"/>
  <c r="K191" i="2" s="1"/>
  <c r="F191" i="2"/>
  <c r="G193" i="1"/>
  <c r="H193" i="1" s="1"/>
  <c r="J193" i="1" s="1"/>
  <c r="D194" i="1" s="1"/>
  <c r="G194" i="4" l="1"/>
  <c r="H194" i="4" s="1"/>
  <c r="J194" i="4" s="1"/>
  <c r="D195" i="4" s="1"/>
  <c r="G191" i="2"/>
  <c r="H191" i="2" s="1"/>
  <c r="J191" i="2" s="1"/>
  <c r="D192" i="2" s="1"/>
  <c r="I194" i="1"/>
  <c r="K194" i="1" s="1"/>
  <c r="F194" i="1"/>
  <c r="I195" i="4" l="1"/>
  <c r="K195" i="4" s="1"/>
  <c r="F195" i="4"/>
  <c r="I192" i="2"/>
  <c r="K192" i="2" s="1"/>
  <c r="F192" i="2"/>
  <c r="G194" i="1"/>
  <c r="H194" i="1" s="1"/>
  <c r="J194" i="1" s="1"/>
  <c r="D195" i="1" s="1"/>
  <c r="G195" i="4" l="1"/>
  <c r="H195" i="4" s="1"/>
  <c r="J195" i="4" s="1"/>
  <c r="D196" i="4" s="1"/>
  <c r="G192" i="2"/>
  <c r="H192" i="2" s="1"/>
  <c r="J192" i="2" s="1"/>
  <c r="D193" i="2" s="1"/>
  <c r="F195" i="1"/>
  <c r="I195" i="1"/>
  <c r="K195" i="1" s="1"/>
  <c r="I196" i="4" l="1"/>
  <c r="K196" i="4" s="1"/>
  <c r="F196" i="4"/>
  <c r="I193" i="2"/>
  <c r="K193" i="2" s="1"/>
  <c r="F193" i="2"/>
  <c r="G195" i="1"/>
  <c r="H195" i="1" s="1"/>
  <c r="J195" i="1" s="1"/>
  <c r="D196" i="1" s="1"/>
  <c r="G196" i="4" l="1"/>
  <c r="H196" i="4" s="1"/>
  <c r="J196" i="4" s="1"/>
  <c r="D197" i="4" s="1"/>
  <c r="G193" i="2"/>
  <c r="H193" i="2" s="1"/>
  <c r="J193" i="2" s="1"/>
  <c r="D194" i="2" s="1"/>
  <c r="F196" i="1"/>
  <c r="I196" i="1"/>
  <c r="K196" i="1" s="1"/>
  <c r="I197" i="4" l="1"/>
  <c r="K197" i="4" s="1"/>
  <c r="F197" i="4"/>
  <c r="I194" i="2"/>
  <c r="K194" i="2" s="1"/>
  <c r="F194" i="2"/>
  <c r="G196" i="1"/>
  <c r="H196" i="1" s="1"/>
  <c r="J196" i="1" s="1"/>
  <c r="D197" i="1" s="1"/>
  <c r="G197" i="4" l="1"/>
  <c r="H197" i="4" s="1"/>
  <c r="J197" i="4" s="1"/>
  <c r="D198" i="4" s="1"/>
  <c r="G194" i="2"/>
  <c r="H194" i="2" s="1"/>
  <c r="J194" i="2" s="1"/>
  <c r="D195" i="2" s="1"/>
  <c r="I197" i="1"/>
  <c r="K197" i="1" s="1"/>
  <c r="F197" i="1"/>
  <c r="F198" i="4" l="1"/>
  <c r="I198" i="4"/>
  <c r="K198" i="4" s="1"/>
  <c r="I195" i="2"/>
  <c r="K195" i="2" s="1"/>
  <c r="F195" i="2"/>
  <c r="G197" i="1"/>
  <c r="H197" i="1" s="1"/>
  <c r="J197" i="1" s="1"/>
  <c r="D198" i="1" s="1"/>
  <c r="G198" i="4" l="1"/>
  <c r="H198" i="4" s="1"/>
  <c r="J198" i="4" s="1"/>
  <c r="D199" i="4" s="1"/>
  <c r="G195" i="2"/>
  <c r="H195" i="2" s="1"/>
  <c r="J195" i="2" s="1"/>
  <c r="D196" i="2" s="1"/>
  <c r="F198" i="1"/>
  <c r="I198" i="1"/>
  <c r="K198" i="1" s="1"/>
  <c r="F199" i="4" l="1"/>
  <c r="I199" i="4"/>
  <c r="K199" i="4" s="1"/>
  <c r="I196" i="2"/>
  <c r="K196" i="2" s="1"/>
  <c r="F196" i="2"/>
  <c r="G198" i="1"/>
  <c r="H198" i="1" s="1"/>
  <c r="J198" i="1" s="1"/>
  <c r="D199" i="1" s="1"/>
  <c r="G199" i="4" l="1"/>
  <c r="H199" i="4" s="1"/>
  <c r="J199" i="4" s="1"/>
  <c r="D200" i="4" s="1"/>
  <c r="G196" i="2"/>
  <c r="H196" i="2" s="1"/>
  <c r="J196" i="2" s="1"/>
  <c r="D197" i="2" s="1"/>
  <c r="I199" i="1"/>
  <c r="K199" i="1" s="1"/>
  <c r="F199" i="1"/>
  <c r="I200" i="4" l="1"/>
  <c r="K200" i="4" s="1"/>
  <c r="F200" i="4"/>
  <c r="F197" i="2"/>
  <c r="I197" i="2"/>
  <c r="K197" i="2" s="1"/>
  <c r="G199" i="1"/>
  <c r="H199" i="1" s="1"/>
  <c r="J199" i="1" s="1"/>
  <c r="D200" i="1" s="1"/>
  <c r="G200" i="4" l="1"/>
  <c r="H200" i="4" s="1"/>
  <c r="J200" i="4" s="1"/>
  <c r="D201" i="4" s="1"/>
  <c r="G197" i="2"/>
  <c r="H197" i="2" s="1"/>
  <c r="J197" i="2" s="1"/>
  <c r="D198" i="2" s="1"/>
  <c r="I200" i="1"/>
  <c r="K200" i="1" s="1"/>
  <c r="F200" i="1"/>
  <c r="I201" i="4" l="1"/>
  <c r="K201" i="4" s="1"/>
  <c r="F201" i="4"/>
  <c r="I198" i="2"/>
  <c r="K198" i="2" s="1"/>
  <c r="F198" i="2"/>
  <c r="G200" i="1"/>
  <c r="H200" i="1" s="1"/>
  <c r="J200" i="1" s="1"/>
  <c r="D201" i="1" s="1"/>
  <c r="G201" i="4" l="1"/>
  <c r="H201" i="4" s="1"/>
  <c r="J201" i="4" s="1"/>
  <c r="D202" i="4" s="1"/>
  <c r="G198" i="2"/>
  <c r="H198" i="2" s="1"/>
  <c r="J198" i="2" s="1"/>
  <c r="D199" i="2" s="1"/>
  <c r="F201" i="1"/>
  <c r="I201" i="1"/>
  <c r="K201" i="1" s="1"/>
  <c r="I202" i="4" l="1"/>
  <c r="K202" i="4" s="1"/>
  <c r="F202" i="4"/>
  <c r="I199" i="2"/>
  <c r="K199" i="2" s="1"/>
  <c r="F199" i="2"/>
  <c r="G201" i="1"/>
  <c r="H201" i="1" s="1"/>
  <c r="J201" i="1" s="1"/>
  <c r="D202" i="1" s="1"/>
  <c r="G202" i="4" l="1"/>
  <c r="H202" i="4" s="1"/>
  <c r="J202" i="4" s="1"/>
  <c r="D203" i="4" s="1"/>
  <c r="G199" i="2"/>
  <c r="H199" i="2" s="1"/>
  <c r="J199" i="2" s="1"/>
  <c r="D200" i="2" s="1"/>
  <c r="I202" i="1"/>
  <c r="K202" i="1" s="1"/>
  <c r="F202" i="1"/>
  <c r="I203" i="4" l="1"/>
  <c r="K203" i="4" s="1"/>
  <c r="F203" i="4"/>
  <c r="I200" i="2"/>
  <c r="K200" i="2" s="1"/>
  <c r="F200" i="2"/>
  <c r="G202" i="1"/>
  <c r="H202" i="1" s="1"/>
  <c r="J202" i="1" s="1"/>
  <c r="D203" i="1" s="1"/>
  <c r="G203" i="4" l="1"/>
  <c r="H203" i="4" s="1"/>
  <c r="J203" i="4" s="1"/>
  <c r="D204" i="4" s="1"/>
  <c r="G200" i="2"/>
  <c r="H200" i="2" s="1"/>
  <c r="J200" i="2" s="1"/>
  <c r="D201" i="2" s="1"/>
  <c r="I203" i="1"/>
  <c r="K203" i="1" s="1"/>
  <c r="F203" i="1"/>
  <c r="I204" i="4" l="1"/>
  <c r="K204" i="4" s="1"/>
  <c r="F204" i="4"/>
  <c r="I201" i="2"/>
  <c r="K201" i="2" s="1"/>
  <c r="F201" i="2"/>
  <c r="G203" i="1"/>
  <c r="H203" i="1" s="1"/>
  <c r="J203" i="1" s="1"/>
  <c r="D204" i="1" s="1"/>
  <c r="G204" i="4" l="1"/>
  <c r="H204" i="4" s="1"/>
  <c r="J204" i="4" s="1"/>
  <c r="D205" i="4" s="1"/>
  <c r="G201" i="2"/>
  <c r="H201" i="2" s="1"/>
  <c r="J201" i="2" s="1"/>
  <c r="D202" i="2" s="1"/>
  <c r="I204" i="1"/>
  <c r="K204" i="1" s="1"/>
  <c r="F204" i="1"/>
  <c r="I205" i="4" l="1"/>
  <c r="K205" i="4" s="1"/>
  <c r="F205" i="4"/>
  <c r="I202" i="2"/>
  <c r="K202" i="2" s="1"/>
  <c r="F202" i="2"/>
  <c r="G204" i="1"/>
  <c r="H204" i="1" s="1"/>
  <c r="J204" i="1" s="1"/>
  <c r="D205" i="1" s="1"/>
  <c r="G205" i="4" l="1"/>
  <c r="H205" i="4" s="1"/>
  <c r="J205" i="4" s="1"/>
  <c r="D206" i="4" s="1"/>
  <c r="G202" i="2"/>
  <c r="H202" i="2" s="1"/>
  <c r="J202" i="2" s="1"/>
  <c r="D203" i="2" s="1"/>
  <c r="F205" i="1"/>
  <c r="I205" i="1"/>
  <c r="K205" i="1" s="1"/>
  <c r="I206" i="4" l="1"/>
  <c r="K206" i="4" s="1"/>
  <c r="F206" i="4"/>
  <c r="F203" i="2"/>
  <c r="I203" i="2"/>
  <c r="K203" i="2" s="1"/>
  <c r="G205" i="1"/>
  <c r="H205" i="1" s="1"/>
  <c r="J205" i="1" s="1"/>
  <c r="D206" i="1" s="1"/>
  <c r="G206" i="4" l="1"/>
  <c r="H206" i="4" s="1"/>
  <c r="J206" i="4" s="1"/>
  <c r="D207" i="4" s="1"/>
  <c r="G203" i="2"/>
  <c r="H203" i="2" s="1"/>
  <c r="J203" i="2" s="1"/>
  <c r="D204" i="2" s="1"/>
  <c r="F206" i="1"/>
  <c r="I206" i="1"/>
  <c r="K206" i="1" s="1"/>
  <c r="I207" i="4" l="1"/>
  <c r="K207" i="4" s="1"/>
  <c r="F207" i="4"/>
  <c r="I204" i="2"/>
  <c r="K204" i="2" s="1"/>
  <c r="F204" i="2"/>
  <c r="G206" i="1"/>
  <c r="H206" i="1" s="1"/>
  <c r="J206" i="1" s="1"/>
  <c r="D207" i="1" s="1"/>
  <c r="G207" i="4" l="1"/>
  <c r="H207" i="4" s="1"/>
  <c r="J207" i="4" s="1"/>
  <c r="D208" i="4" s="1"/>
  <c r="G204" i="2"/>
  <c r="H204" i="2" s="1"/>
  <c r="J204" i="2" s="1"/>
  <c r="D205" i="2" s="1"/>
  <c r="I207" i="1"/>
  <c r="K207" i="1" s="1"/>
  <c r="F207" i="1"/>
  <c r="F208" i="4" l="1"/>
  <c r="I208" i="4"/>
  <c r="K208" i="4" s="1"/>
  <c r="I205" i="2"/>
  <c r="K205" i="2" s="1"/>
  <c r="F205" i="2"/>
  <c r="G207" i="1"/>
  <c r="H207" i="1" s="1"/>
  <c r="J207" i="1" s="1"/>
  <c r="D208" i="1" s="1"/>
  <c r="G208" i="4" l="1"/>
  <c r="H208" i="4" s="1"/>
  <c r="J208" i="4" s="1"/>
  <c r="D209" i="4" s="1"/>
  <c r="G205" i="2"/>
  <c r="H205" i="2" s="1"/>
  <c r="J205" i="2" s="1"/>
  <c r="D206" i="2" s="1"/>
  <c r="F208" i="1"/>
  <c r="I208" i="1"/>
  <c r="K208" i="1" s="1"/>
  <c r="F209" i="4" l="1"/>
  <c r="I209" i="4"/>
  <c r="K209" i="4" s="1"/>
  <c r="I206" i="2"/>
  <c r="K206" i="2" s="1"/>
  <c r="F206" i="2"/>
  <c r="G208" i="1"/>
  <c r="H208" i="1" s="1"/>
  <c r="J208" i="1" s="1"/>
  <c r="D209" i="1" s="1"/>
  <c r="G209" i="4" l="1"/>
  <c r="H209" i="4" s="1"/>
  <c r="J209" i="4" s="1"/>
  <c r="D210" i="4" s="1"/>
  <c r="G206" i="2"/>
  <c r="H206" i="2" s="1"/>
  <c r="J206" i="2" s="1"/>
  <c r="D207" i="2" s="1"/>
  <c r="F209" i="1"/>
  <c r="I209" i="1"/>
  <c r="K209" i="1" s="1"/>
  <c r="F210" i="4" l="1"/>
  <c r="I210" i="4"/>
  <c r="K210" i="4" s="1"/>
  <c r="F207" i="2"/>
  <c r="I207" i="2"/>
  <c r="K207" i="2" s="1"/>
  <c r="G209" i="1"/>
  <c r="H209" i="1" s="1"/>
  <c r="J209" i="1" s="1"/>
  <c r="D210" i="1" s="1"/>
  <c r="G210" i="4" l="1"/>
  <c r="H210" i="4" s="1"/>
  <c r="J210" i="4" s="1"/>
  <c r="D211" i="4" s="1"/>
  <c r="G207" i="2"/>
  <c r="H207" i="2" s="1"/>
  <c r="J207" i="2" s="1"/>
  <c r="D208" i="2" s="1"/>
  <c r="F210" i="1"/>
  <c r="I210" i="1"/>
  <c r="K210" i="1" s="1"/>
  <c r="F211" i="4" l="1"/>
  <c r="I211" i="4"/>
  <c r="K211" i="4" s="1"/>
  <c r="I208" i="2"/>
  <c r="K208" i="2" s="1"/>
  <c r="F208" i="2"/>
  <c r="G210" i="1"/>
  <c r="H210" i="1" s="1"/>
  <c r="J210" i="1" s="1"/>
  <c r="D211" i="1" s="1"/>
  <c r="G211" i="4" l="1"/>
  <c r="H211" i="4" s="1"/>
  <c r="J211" i="4" s="1"/>
  <c r="D212" i="4" s="1"/>
  <c r="G208" i="2"/>
  <c r="H208" i="2" s="1"/>
  <c r="J208" i="2" s="1"/>
  <c r="D209" i="2" s="1"/>
  <c r="I211" i="1"/>
  <c r="K211" i="1" s="1"/>
  <c r="F211" i="1"/>
  <c r="F212" i="4" l="1"/>
  <c r="I212" i="4"/>
  <c r="K212" i="4" s="1"/>
  <c r="I209" i="2"/>
  <c r="K209" i="2" s="1"/>
  <c r="F209" i="2"/>
  <c r="G211" i="1"/>
  <c r="H211" i="1" s="1"/>
  <c r="J211" i="1" s="1"/>
  <c r="D212" i="1" s="1"/>
  <c r="G212" i="4" l="1"/>
  <c r="H212" i="4" s="1"/>
  <c r="J212" i="4" s="1"/>
  <c r="D213" i="4" s="1"/>
  <c r="G209" i="2"/>
  <c r="H209" i="2" s="1"/>
  <c r="J209" i="2" s="1"/>
  <c r="D210" i="2" s="1"/>
  <c r="I212" i="1"/>
  <c r="K212" i="1" s="1"/>
  <c r="F212" i="1"/>
  <c r="F213" i="4" l="1"/>
  <c r="I213" i="4"/>
  <c r="K213" i="4" s="1"/>
  <c r="I210" i="2"/>
  <c r="K210" i="2" s="1"/>
  <c r="F210" i="2"/>
  <c r="G212" i="1"/>
  <c r="H212" i="1" s="1"/>
  <c r="J212" i="1" s="1"/>
  <c r="D213" i="1" s="1"/>
  <c r="G213" i="4" l="1"/>
  <c r="H213" i="4" s="1"/>
  <c r="J213" i="4" s="1"/>
  <c r="D214" i="4" s="1"/>
  <c r="G210" i="2"/>
  <c r="H210" i="2" s="1"/>
  <c r="J210" i="2" s="1"/>
  <c r="D211" i="2" s="1"/>
  <c r="F213" i="1"/>
  <c r="I213" i="1"/>
  <c r="K213" i="1" s="1"/>
  <c r="I214" i="4" l="1"/>
  <c r="K214" i="4" s="1"/>
  <c r="F214" i="4"/>
  <c r="F211" i="2"/>
  <c r="I211" i="2"/>
  <c r="K211" i="2" s="1"/>
  <c r="G213" i="1"/>
  <c r="H213" i="1" s="1"/>
  <c r="J213" i="1" s="1"/>
  <c r="D214" i="1" s="1"/>
  <c r="G214" i="4" l="1"/>
  <c r="H214" i="4" s="1"/>
  <c r="J214" i="4" s="1"/>
  <c r="D215" i="4" s="1"/>
  <c r="G211" i="2"/>
  <c r="H211" i="2" s="1"/>
  <c r="J211" i="2"/>
  <c r="D212" i="2" s="1"/>
  <c r="I214" i="1"/>
  <c r="K214" i="1" s="1"/>
  <c r="F214" i="1"/>
  <c r="I215" i="4" l="1"/>
  <c r="K215" i="4" s="1"/>
  <c r="F215" i="4"/>
  <c r="I212" i="2"/>
  <c r="K212" i="2" s="1"/>
  <c r="F212" i="2"/>
  <c r="G214" i="1"/>
  <c r="H214" i="1" s="1"/>
  <c r="J214" i="1" s="1"/>
  <c r="D215" i="1" s="1"/>
  <c r="G215" i="4" l="1"/>
  <c r="H215" i="4" s="1"/>
  <c r="J215" i="4" s="1"/>
  <c r="D216" i="4" s="1"/>
  <c r="G212" i="2"/>
  <c r="H212" i="2" s="1"/>
  <c r="J212" i="2" s="1"/>
  <c r="D213" i="2" s="1"/>
  <c r="F215" i="1"/>
  <c r="I215" i="1"/>
  <c r="K215" i="1" s="1"/>
  <c r="I216" i="4" l="1"/>
  <c r="K216" i="4" s="1"/>
  <c r="F216" i="4"/>
  <c r="F213" i="2"/>
  <c r="I213" i="2"/>
  <c r="K213" i="2" s="1"/>
  <c r="G215" i="1"/>
  <c r="H215" i="1" s="1"/>
  <c r="J215" i="1" s="1"/>
  <c r="D216" i="1" s="1"/>
  <c r="G216" i="4" l="1"/>
  <c r="H216" i="4" s="1"/>
  <c r="J216" i="4" s="1"/>
  <c r="D217" i="4" s="1"/>
  <c r="G213" i="2"/>
  <c r="H213" i="2" s="1"/>
  <c r="J213" i="2" s="1"/>
  <c r="D214" i="2" s="1"/>
  <c r="F216" i="1"/>
  <c r="I216" i="1"/>
  <c r="K216" i="1" s="1"/>
  <c r="F217" i="4" l="1"/>
  <c r="I217" i="4"/>
  <c r="K217" i="4" s="1"/>
  <c r="I214" i="2"/>
  <c r="K214" i="2" s="1"/>
  <c r="F214" i="2"/>
  <c r="G216" i="1"/>
  <c r="H216" i="1" s="1"/>
  <c r="J216" i="1" s="1"/>
  <c r="D217" i="1" s="1"/>
  <c r="G217" i="4" l="1"/>
  <c r="H217" i="4" s="1"/>
  <c r="J217" i="4" s="1"/>
  <c r="D218" i="4" s="1"/>
  <c r="G214" i="2"/>
  <c r="H214" i="2" s="1"/>
  <c r="J214" i="2" s="1"/>
  <c r="D215" i="2" s="1"/>
  <c r="F217" i="1"/>
  <c r="I217" i="1"/>
  <c r="K217" i="1" s="1"/>
  <c r="F218" i="4" l="1"/>
  <c r="I218" i="4"/>
  <c r="K218" i="4" s="1"/>
  <c r="I215" i="2"/>
  <c r="K215" i="2" s="1"/>
  <c r="F215" i="2"/>
  <c r="G217" i="1"/>
  <c r="H217" i="1" s="1"/>
  <c r="J217" i="1" s="1"/>
  <c r="D218" i="1" s="1"/>
  <c r="G218" i="4" l="1"/>
  <c r="H218" i="4" s="1"/>
  <c r="J218" i="4" s="1"/>
  <c r="D219" i="4" s="1"/>
  <c r="G215" i="2"/>
  <c r="H215" i="2" s="1"/>
  <c r="J215" i="2" s="1"/>
  <c r="D216" i="2" s="1"/>
  <c r="I218" i="1"/>
  <c r="K218" i="1" s="1"/>
  <c r="F218" i="1"/>
  <c r="F219" i="4" l="1"/>
  <c r="I219" i="4"/>
  <c r="K219" i="4" s="1"/>
  <c r="I216" i="2"/>
  <c r="K216" i="2" s="1"/>
  <c r="F216" i="2"/>
  <c r="G218" i="1"/>
  <c r="H218" i="1" s="1"/>
  <c r="J218" i="1" s="1"/>
  <c r="D219" i="1" s="1"/>
  <c r="G219" i="4" l="1"/>
  <c r="H219" i="4" s="1"/>
  <c r="J219" i="4" s="1"/>
  <c r="D220" i="4" s="1"/>
  <c r="G216" i="2"/>
  <c r="H216" i="2" s="1"/>
  <c r="J216" i="2" s="1"/>
  <c r="D217" i="2" s="1"/>
  <c r="I219" i="1"/>
  <c r="K219" i="1" s="1"/>
  <c r="F219" i="1"/>
  <c r="F220" i="4" l="1"/>
  <c r="I220" i="4"/>
  <c r="K220" i="4" s="1"/>
  <c r="I217" i="2"/>
  <c r="K217" i="2" s="1"/>
  <c r="F217" i="2"/>
  <c r="G219" i="1"/>
  <c r="H219" i="1" s="1"/>
  <c r="J219" i="1" s="1"/>
  <c r="D220" i="1" s="1"/>
  <c r="G220" i="4" l="1"/>
  <c r="H220" i="4" s="1"/>
  <c r="J220" i="4" s="1"/>
  <c r="D221" i="4" s="1"/>
  <c r="G217" i="2"/>
  <c r="H217" i="2" s="1"/>
  <c r="J217" i="2" s="1"/>
  <c r="D218" i="2" s="1"/>
  <c r="F220" i="1"/>
  <c r="I220" i="1"/>
  <c r="K220" i="1" s="1"/>
  <c r="F221" i="4" l="1"/>
  <c r="I221" i="4"/>
  <c r="K221" i="4" s="1"/>
  <c r="I218" i="2"/>
  <c r="K218" i="2" s="1"/>
  <c r="F218" i="2"/>
  <c r="G220" i="1"/>
  <c r="H220" i="1" s="1"/>
  <c r="J220" i="1" s="1"/>
  <c r="D221" i="1" s="1"/>
  <c r="G221" i="4" l="1"/>
  <c r="H221" i="4" s="1"/>
  <c r="J221" i="4" s="1"/>
  <c r="D222" i="4" s="1"/>
  <c r="G218" i="2"/>
  <c r="H218" i="2" s="1"/>
  <c r="J218" i="2" s="1"/>
  <c r="D219" i="2" s="1"/>
  <c r="I221" i="1"/>
  <c r="K221" i="1" s="1"/>
  <c r="F221" i="1"/>
  <c r="F222" i="4" l="1"/>
  <c r="I222" i="4"/>
  <c r="K222" i="4" s="1"/>
  <c r="I219" i="2"/>
  <c r="K219" i="2" s="1"/>
  <c r="F219" i="2"/>
  <c r="G221" i="1"/>
  <c r="H221" i="1" s="1"/>
  <c r="J221" i="1" s="1"/>
  <c r="D222" i="1" s="1"/>
  <c r="G222" i="4" l="1"/>
  <c r="H222" i="4" s="1"/>
  <c r="J222" i="4" s="1"/>
  <c r="D223" i="4" s="1"/>
  <c r="G219" i="2"/>
  <c r="H219" i="2" s="1"/>
  <c r="J219" i="2" s="1"/>
  <c r="D220" i="2" s="1"/>
  <c r="I222" i="1"/>
  <c r="K222" i="1" s="1"/>
  <c r="F222" i="1"/>
  <c r="F223" i="4" l="1"/>
  <c r="I223" i="4"/>
  <c r="K223" i="4" s="1"/>
  <c r="I220" i="2"/>
  <c r="K220" i="2" s="1"/>
  <c r="F220" i="2"/>
  <c r="G222" i="1"/>
  <c r="H222" i="1" s="1"/>
  <c r="J222" i="1" s="1"/>
  <c r="D223" i="1" s="1"/>
  <c r="G223" i="4" l="1"/>
  <c r="H223" i="4" s="1"/>
  <c r="J223" i="4" s="1"/>
  <c r="D224" i="4" s="1"/>
  <c r="G220" i="2"/>
  <c r="H220" i="2" s="1"/>
  <c r="J220" i="2" s="1"/>
  <c r="D221" i="2" s="1"/>
  <c r="I223" i="1"/>
  <c r="K223" i="1" s="1"/>
  <c r="F223" i="1"/>
  <c r="I224" i="4" l="1"/>
  <c r="K224" i="4" s="1"/>
  <c r="F224" i="4"/>
  <c r="I221" i="2"/>
  <c r="K221" i="2" s="1"/>
  <c r="F221" i="2"/>
  <c r="G223" i="1"/>
  <c r="H223" i="1" s="1"/>
  <c r="J223" i="1" s="1"/>
  <c r="D224" i="1" s="1"/>
  <c r="G224" i="4" l="1"/>
  <c r="H224" i="4" s="1"/>
  <c r="J224" i="4" s="1"/>
  <c r="D225" i="4" s="1"/>
  <c r="G221" i="2"/>
  <c r="H221" i="2" s="1"/>
  <c r="J221" i="2" s="1"/>
  <c r="D222" i="2" s="1"/>
  <c r="I224" i="1"/>
  <c r="K224" i="1" s="1"/>
  <c r="F224" i="1"/>
  <c r="I225" i="4" l="1"/>
  <c r="K225" i="4" s="1"/>
  <c r="F225" i="4"/>
  <c r="I222" i="2"/>
  <c r="K222" i="2" s="1"/>
  <c r="F222" i="2"/>
  <c r="G224" i="1"/>
  <c r="H224" i="1" s="1"/>
  <c r="J224" i="1" s="1"/>
  <c r="D225" i="1" s="1"/>
  <c r="G225" i="4" l="1"/>
  <c r="H225" i="4" s="1"/>
  <c r="J225" i="4" s="1"/>
  <c r="D226" i="4" s="1"/>
  <c r="G222" i="2"/>
  <c r="H222" i="2" s="1"/>
  <c r="J222" i="2" s="1"/>
  <c r="D223" i="2" s="1"/>
  <c r="F225" i="1"/>
  <c r="I225" i="1"/>
  <c r="K225" i="1" s="1"/>
  <c r="I226" i="4" l="1"/>
  <c r="K226" i="4" s="1"/>
  <c r="F226" i="4"/>
  <c r="I223" i="2"/>
  <c r="K223" i="2" s="1"/>
  <c r="F223" i="2"/>
  <c r="G225" i="1"/>
  <c r="H225" i="1" s="1"/>
  <c r="J225" i="1" s="1"/>
  <c r="D226" i="1" s="1"/>
  <c r="G226" i="4" l="1"/>
  <c r="H226" i="4" s="1"/>
  <c r="J226" i="4" s="1"/>
  <c r="D227" i="4" s="1"/>
  <c r="G223" i="2"/>
  <c r="H223" i="2" s="1"/>
  <c r="J223" i="2" s="1"/>
  <c r="D224" i="2" s="1"/>
  <c r="I226" i="1"/>
  <c r="K226" i="1" s="1"/>
  <c r="F226" i="1"/>
  <c r="I227" i="4" l="1"/>
  <c r="K227" i="4" s="1"/>
  <c r="F227" i="4"/>
  <c r="I224" i="2"/>
  <c r="K224" i="2" s="1"/>
  <c r="F224" i="2"/>
  <c r="G226" i="1"/>
  <c r="H226" i="1" s="1"/>
  <c r="J226" i="1" s="1"/>
  <c r="D227" i="1" s="1"/>
  <c r="G227" i="4" l="1"/>
  <c r="H227" i="4" s="1"/>
  <c r="J227" i="4" s="1"/>
  <c r="D228" i="4" s="1"/>
  <c r="G224" i="2"/>
  <c r="H224" i="2" s="1"/>
  <c r="J224" i="2" s="1"/>
  <c r="D225" i="2" s="1"/>
  <c r="I227" i="1"/>
  <c r="K227" i="1" s="1"/>
  <c r="F227" i="1"/>
  <c r="I228" i="4" l="1"/>
  <c r="K228" i="4" s="1"/>
  <c r="F228" i="4"/>
  <c r="I225" i="2"/>
  <c r="K225" i="2" s="1"/>
  <c r="F225" i="2"/>
  <c r="G227" i="1"/>
  <c r="H227" i="1" s="1"/>
  <c r="J227" i="1" s="1"/>
  <c r="D228" i="1" s="1"/>
  <c r="G228" i="4" l="1"/>
  <c r="H228" i="4" s="1"/>
  <c r="J228" i="4" s="1"/>
  <c r="D229" i="4" s="1"/>
  <c r="G225" i="2"/>
  <c r="H225" i="2" s="1"/>
  <c r="J225" i="2" s="1"/>
  <c r="D226" i="2" s="1"/>
  <c r="F228" i="1"/>
  <c r="I228" i="1"/>
  <c r="K228" i="1" s="1"/>
  <c r="I229" i="4" l="1"/>
  <c r="K229" i="4" s="1"/>
  <c r="F229" i="4"/>
  <c r="I226" i="2"/>
  <c r="K226" i="2" s="1"/>
  <c r="F226" i="2"/>
  <c r="G228" i="1"/>
  <c r="H228" i="1" s="1"/>
  <c r="J228" i="1" s="1"/>
  <c r="D229" i="1" s="1"/>
  <c r="G229" i="4" l="1"/>
  <c r="H229" i="4" s="1"/>
  <c r="J229" i="4" s="1"/>
  <c r="D230" i="4" s="1"/>
  <c r="G226" i="2"/>
  <c r="H226" i="2" s="1"/>
  <c r="J226" i="2" s="1"/>
  <c r="D227" i="2" s="1"/>
  <c r="F229" i="1"/>
  <c r="I229" i="1"/>
  <c r="K229" i="1" s="1"/>
  <c r="F230" i="4" l="1"/>
  <c r="I230" i="4"/>
  <c r="K230" i="4" s="1"/>
  <c r="I227" i="2"/>
  <c r="K227" i="2" s="1"/>
  <c r="F227" i="2"/>
  <c r="G229" i="1"/>
  <c r="H229" i="1" s="1"/>
  <c r="J229" i="1" s="1"/>
  <c r="D230" i="1" s="1"/>
  <c r="G230" i="4" l="1"/>
  <c r="H230" i="4" s="1"/>
  <c r="J230" i="4" s="1"/>
  <c r="D231" i="4" s="1"/>
  <c r="G227" i="2"/>
  <c r="H227" i="2" s="1"/>
  <c r="J227" i="2" s="1"/>
  <c r="D228" i="2" s="1"/>
  <c r="F230" i="1"/>
  <c r="I230" i="1"/>
  <c r="K230" i="1" s="1"/>
  <c r="F231" i="4" l="1"/>
  <c r="I231" i="4"/>
  <c r="K231" i="4" s="1"/>
  <c r="I228" i="2"/>
  <c r="K228" i="2" s="1"/>
  <c r="F228" i="2"/>
  <c r="G230" i="1"/>
  <c r="H230" i="1" s="1"/>
  <c r="J230" i="1" s="1"/>
  <c r="D231" i="1" s="1"/>
  <c r="G231" i="4" l="1"/>
  <c r="H231" i="4" s="1"/>
  <c r="J231" i="4" s="1"/>
  <c r="D232" i="4" s="1"/>
  <c r="G228" i="2"/>
  <c r="H228" i="2" s="1"/>
  <c r="J228" i="2" s="1"/>
  <c r="D229" i="2" s="1"/>
  <c r="I231" i="1"/>
  <c r="K231" i="1" s="1"/>
  <c r="F231" i="1"/>
  <c r="I232" i="4" l="1"/>
  <c r="K232" i="4" s="1"/>
  <c r="F232" i="4"/>
  <c r="F229" i="2"/>
  <c r="I229" i="2"/>
  <c r="K229" i="2" s="1"/>
  <c r="G231" i="1"/>
  <c r="H231" i="1" s="1"/>
  <c r="J231" i="1" s="1"/>
  <c r="D232" i="1" s="1"/>
  <c r="G232" i="4" l="1"/>
  <c r="H232" i="4" s="1"/>
  <c r="J232" i="4" s="1"/>
  <c r="D233" i="4" s="1"/>
  <c r="G229" i="2"/>
  <c r="H229" i="2" s="1"/>
  <c r="J229" i="2" s="1"/>
  <c r="D230" i="2" s="1"/>
  <c r="I232" i="1"/>
  <c r="K232" i="1" s="1"/>
  <c r="F232" i="1"/>
  <c r="I233" i="4" l="1"/>
  <c r="K233" i="4" s="1"/>
  <c r="F233" i="4"/>
  <c r="I230" i="2"/>
  <c r="K230" i="2" s="1"/>
  <c r="F230" i="2"/>
  <c r="G232" i="1"/>
  <c r="H232" i="1" s="1"/>
  <c r="J232" i="1" s="1"/>
  <c r="D233" i="1" s="1"/>
  <c r="G233" i="4" l="1"/>
  <c r="H233" i="4" s="1"/>
  <c r="J233" i="4" s="1"/>
  <c r="D234" i="4" s="1"/>
  <c r="G230" i="2"/>
  <c r="H230" i="2" s="1"/>
  <c r="J230" i="2" s="1"/>
  <c r="D231" i="2" s="1"/>
  <c r="F233" i="1"/>
  <c r="I233" i="1"/>
  <c r="K233" i="1" s="1"/>
  <c r="F234" i="4" l="1"/>
  <c r="I234" i="4"/>
  <c r="K234" i="4" s="1"/>
  <c r="I231" i="2"/>
  <c r="K231" i="2" s="1"/>
  <c r="F231" i="2"/>
  <c r="G233" i="1"/>
  <c r="H233" i="1" s="1"/>
  <c r="J233" i="1" s="1"/>
  <c r="D234" i="1" s="1"/>
  <c r="G234" i="4" l="1"/>
  <c r="H234" i="4" s="1"/>
  <c r="J234" i="4" s="1"/>
  <c r="D235" i="4" s="1"/>
  <c r="G231" i="2"/>
  <c r="H231" i="2" s="1"/>
  <c r="J231" i="2" s="1"/>
  <c r="D232" i="2" s="1"/>
  <c r="I234" i="1"/>
  <c r="K234" i="1" s="1"/>
  <c r="F234" i="1"/>
  <c r="I235" i="4" l="1"/>
  <c r="K235" i="4" s="1"/>
  <c r="F235" i="4"/>
  <c r="I232" i="2"/>
  <c r="K232" i="2" s="1"/>
  <c r="F232" i="2"/>
  <c r="G234" i="1"/>
  <c r="H234" i="1" s="1"/>
  <c r="J234" i="1" s="1"/>
  <c r="D235" i="1" s="1"/>
  <c r="G235" i="4" l="1"/>
  <c r="H235" i="4" s="1"/>
  <c r="J235" i="4" s="1"/>
  <c r="D236" i="4" s="1"/>
  <c r="G232" i="2"/>
  <c r="H232" i="2" s="1"/>
  <c r="J232" i="2" s="1"/>
  <c r="D233" i="2" s="1"/>
  <c r="I235" i="1"/>
  <c r="K235" i="1" s="1"/>
  <c r="F235" i="1"/>
  <c r="I236" i="4" l="1"/>
  <c r="K236" i="4" s="1"/>
  <c r="F236" i="4"/>
  <c r="I233" i="2"/>
  <c r="K233" i="2" s="1"/>
  <c r="F233" i="2"/>
  <c r="G235" i="1"/>
  <c r="H235" i="1" s="1"/>
  <c r="J235" i="1" s="1"/>
  <c r="D236" i="1" s="1"/>
  <c r="G236" i="4" l="1"/>
  <c r="H236" i="4" s="1"/>
  <c r="J236" i="4" s="1"/>
  <c r="D237" i="4" s="1"/>
  <c r="G233" i="2"/>
  <c r="H233" i="2" s="1"/>
  <c r="J233" i="2" s="1"/>
  <c r="D234" i="2" s="1"/>
  <c r="I236" i="1"/>
  <c r="K236" i="1" s="1"/>
  <c r="F236" i="1"/>
  <c r="I237" i="4" l="1"/>
  <c r="K237" i="4" s="1"/>
  <c r="F237" i="4"/>
  <c r="I234" i="2"/>
  <c r="K234" i="2" s="1"/>
  <c r="F234" i="2"/>
  <c r="G236" i="1"/>
  <c r="H236" i="1" s="1"/>
  <c r="J236" i="1" s="1"/>
  <c r="D237" i="1" s="1"/>
  <c r="G237" i="4" l="1"/>
  <c r="H237" i="4" s="1"/>
  <c r="J237" i="4" s="1"/>
  <c r="D238" i="4" s="1"/>
  <c r="G234" i="2"/>
  <c r="H234" i="2" s="1"/>
  <c r="J234" i="2" s="1"/>
  <c r="D235" i="2" s="1"/>
  <c r="I237" i="1"/>
  <c r="K237" i="1" s="1"/>
  <c r="F237" i="1"/>
  <c r="F238" i="4" l="1"/>
  <c r="I238" i="4"/>
  <c r="K238" i="4" s="1"/>
  <c r="F235" i="2"/>
  <c r="I235" i="2"/>
  <c r="K235" i="2" s="1"/>
  <c r="G237" i="1"/>
  <c r="H237" i="1" s="1"/>
  <c r="J237" i="1" s="1"/>
  <c r="D238" i="1" s="1"/>
  <c r="G238" i="4" l="1"/>
  <c r="H238" i="4" s="1"/>
  <c r="J238" i="4" s="1"/>
  <c r="D239" i="4" s="1"/>
  <c r="G235" i="2"/>
  <c r="H235" i="2" s="1"/>
  <c r="J235" i="2" s="1"/>
  <c r="D236" i="2" s="1"/>
  <c r="I238" i="1"/>
  <c r="K238" i="1" s="1"/>
  <c r="F238" i="1"/>
  <c r="I239" i="4" l="1"/>
  <c r="K239" i="4" s="1"/>
  <c r="F239" i="4"/>
  <c r="I236" i="2"/>
  <c r="K236" i="2" s="1"/>
  <c r="F236" i="2"/>
  <c r="G238" i="1"/>
  <c r="H238" i="1" s="1"/>
  <c r="J238" i="1" s="1"/>
  <c r="D239" i="1" s="1"/>
  <c r="G239" i="4" l="1"/>
  <c r="H239" i="4" s="1"/>
  <c r="J239" i="4" s="1"/>
  <c r="D240" i="4" s="1"/>
  <c r="G236" i="2"/>
  <c r="H236" i="2" s="1"/>
  <c r="J236" i="2" s="1"/>
  <c r="D237" i="2" s="1"/>
  <c r="I239" i="1"/>
  <c r="K239" i="1" s="1"/>
  <c r="F239" i="1"/>
  <c r="I240" i="4" l="1"/>
  <c r="K240" i="4" s="1"/>
  <c r="F240" i="4"/>
  <c r="I237" i="2"/>
  <c r="K237" i="2" s="1"/>
  <c r="F237" i="2"/>
  <c r="G239" i="1"/>
  <c r="H239" i="1" s="1"/>
  <c r="J239" i="1" s="1"/>
  <c r="D240" i="1" s="1"/>
  <c r="G240" i="4" l="1"/>
  <c r="H240" i="4" s="1"/>
  <c r="J240" i="4" s="1"/>
  <c r="D241" i="4" s="1"/>
  <c r="G237" i="2"/>
  <c r="H237" i="2" s="1"/>
  <c r="J237" i="2" s="1"/>
  <c r="D238" i="2" s="1"/>
  <c r="F240" i="1"/>
  <c r="I240" i="1"/>
  <c r="K240" i="1" s="1"/>
  <c r="I241" i="4" l="1"/>
  <c r="K241" i="4" s="1"/>
  <c r="F241" i="4"/>
  <c r="I238" i="2"/>
  <c r="K238" i="2" s="1"/>
  <c r="F238" i="2"/>
  <c r="G240" i="1"/>
  <c r="H240" i="1" s="1"/>
  <c r="J240" i="1" s="1"/>
  <c r="D241" i="1" s="1"/>
  <c r="G241" i="4" l="1"/>
  <c r="H241" i="4" s="1"/>
  <c r="J241" i="4" s="1"/>
  <c r="D242" i="4" s="1"/>
  <c r="G238" i="2"/>
  <c r="H238" i="2" s="1"/>
  <c r="J238" i="2" s="1"/>
  <c r="D239" i="2" s="1"/>
  <c r="I241" i="1"/>
  <c r="K241" i="1" s="1"/>
  <c r="F241" i="1"/>
  <c r="F242" i="4" l="1"/>
  <c r="I242" i="4"/>
  <c r="K242" i="4" s="1"/>
  <c r="I239" i="2"/>
  <c r="K239" i="2" s="1"/>
  <c r="F239" i="2"/>
  <c r="G241" i="1"/>
  <c r="H241" i="1" s="1"/>
  <c r="J241" i="1" s="1"/>
  <c r="D242" i="1" s="1"/>
  <c r="G242" i="4" l="1"/>
  <c r="H242" i="4" s="1"/>
  <c r="J242" i="4" s="1"/>
  <c r="D243" i="4" s="1"/>
  <c r="G239" i="2"/>
  <c r="H239" i="2" s="1"/>
  <c r="J239" i="2" s="1"/>
  <c r="D240" i="2" s="1"/>
  <c r="I242" i="1"/>
  <c r="K242" i="1" s="1"/>
  <c r="F242" i="1"/>
  <c r="F243" i="4" l="1"/>
  <c r="I243" i="4"/>
  <c r="K243" i="4" s="1"/>
  <c r="I240" i="2"/>
  <c r="K240" i="2" s="1"/>
  <c r="F240" i="2"/>
  <c r="G242" i="1"/>
  <c r="H242" i="1" s="1"/>
  <c r="J242" i="1" s="1"/>
  <c r="D243" i="1" s="1"/>
  <c r="G243" i="4" l="1"/>
  <c r="H243" i="4" s="1"/>
  <c r="J243" i="4" s="1"/>
  <c r="D244" i="4" s="1"/>
  <c r="G240" i="2"/>
  <c r="H240" i="2" s="1"/>
  <c r="J240" i="2" s="1"/>
  <c r="D241" i="2" s="1"/>
  <c r="I243" i="1"/>
  <c r="K243" i="1" s="1"/>
  <c r="F243" i="1"/>
  <c r="I244" i="4" l="1"/>
  <c r="K244" i="4" s="1"/>
  <c r="F244" i="4"/>
  <c r="F241" i="2"/>
  <c r="I241" i="2"/>
  <c r="K241" i="2" s="1"/>
  <c r="G243" i="1"/>
  <c r="H243" i="1" s="1"/>
  <c r="J243" i="1" s="1"/>
  <c r="D244" i="1" s="1"/>
  <c r="G244" i="4" l="1"/>
  <c r="H244" i="4" s="1"/>
  <c r="J244" i="4" s="1"/>
  <c r="D245" i="4" s="1"/>
  <c r="G241" i="2"/>
  <c r="H241" i="2" s="1"/>
  <c r="J241" i="2" s="1"/>
  <c r="D242" i="2" s="1"/>
  <c r="F244" i="1"/>
  <c r="I244" i="1"/>
  <c r="K244" i="1" s="1"/>
  <c r="I245" i="4" l="1"/>
  <c r="K245" i="4" s="1"/>
  <c r="F245" i="4"/>
  <c r="I242" i="2"/>
  <c r="K242" i="2" s="1"/>
  <c r="F242" i="2"/>
  <c r="G244" i="1"/>
  <c r="H244" i="1" s="1"/>
  <c r="J244" i="1" s="1"/>
  <c r="D245" i="1" s="1"/>
  <c r="G245" i="4" l="1"/>
  <c r="H245" i="4" s="1"/>
  <c r="J245" i="4" s="1"/>
  <c r="D246" i="4" s="1"/>
  <c r="G242" i="2"/>
  <c r="H242" i="2" s="1"/>
  <c r="J242" i="2" s="1"/>
  <c r="D243" i="2" s="1"/>
  <c r="I245" i="1"/>
  <c r="K245" i="1" s="1"/>
  <c r="F245" i="1"/>
  <c r="I246" i="4" l="1"/>
  <c r="K246" i="4" s="1"/>
  <c r="F246" i="4"/>
  <c r="I243" i="2"/>
  <c r="K243" i="2" s="1"/>
  <c r="F243" i="2"/>
  <c r="G245" i="1"/>
  <c r="H245" i="1" s="1"/>
  <c r="J245" i="1" s="1"/>
  <c r="D246" i="1" s="1"/>
  <c r="G246" i="4" l="1"/>
  <c r="H246" i="4" s="1"/>
  <c r="J246" i="4" s="1"/>
  <c r="D247" i="4" s="1"/>
  <c r="G243" i="2"/>
  <c r="H243" i="2" s="1"/>
  <c r="J243" i="2" s="1"/>
  <c r="D244" i="2" s="1"/>
  <c r="I246" i="1"/>
  <c r="K246" i="1" s="1"/>
  <c r="F246" i="1"/>
  <c r="F247" i="4" l="1"/>
  <c r="I247" i="4"/>
  <c r="K247" i="4" s="1"/>
  <c r="I244" i="2"/>
  <c r="K244" i="2" s="1"/>
  <c r="F244" i="2"/>
  <c r="G246" i="1"/>
  <c r="H246" i="1" s="1"/>
  <c r="J246" i="1" s="1"/>
  <c r="D247" i="1" s="1"/>
  <c r="G247" i="4" l="1"/>
  <c r="H247" i="4" s="1"/>
  <c r="J247" i="4" s="1"/>
  <c r="D248" i="4" s="1"/>
  <c r="G244" i="2"/>
  <c r="H244" i="2" s="1"/>
  <c r="J244" i="2" s="1"/>
  <c r="D245" i="2" s="1"/>
  <c r="I247" i="1"/>
  <c r="K247" i="1" s="1"/>
  <c r="F247" i="1"/>
  <c r="I248" i="4" l="1"/>
  <c r="K248" i="4" s="1"/>
  <c r="F248" i="4"/>
  <c r="I245" i="2"/>
  <c r="K245" i="2" s="1"/>
  <c r="F245" i="2"/>
  <c r="G247" i="1"/>
  <c r="H247" i="1" s="1"/>
  <c r="J247" i="1" s="1"/>
  <c r="D248" i="1" s="1"/>
  <c r="G248" i="4" l="1"/>
  <c r="H248" i="4" s="1"/>
  <c r="J248" i="4" s="1"/>
  <c r="D249" i="4" s="1"/>
  <c r="G245" i="2"/>
  <c r="H245" i="2" s="1"/>
  <c r="J245" i="2" s="1"/>
  <c r="D246" i="2" s="1"/>
  <c r="F248" i="1"/>
  <c r="I248" i="1"/>
  <c r="K248" i="1" s="1"/>
  <c r="I249" i="4" l="1"/>
  <c r="K249" i="4" s="1"/>
  <c r="F249" i="4"/>
  <c r="I246" i="2"/>
  <c r="K246" i="2" s="1"/>
  <c r="F246" i="2"/>
  <c r="G248" i="1"/>
  <c r="H248" i="1" s="1"/>
  <c r="J248" i="1" s="1"/>
  <c r="D249" i="1" s="1"/>
  <c r="G249" i="4" l="1"/>
  <c r="H249" i="4" s="1"/>
  <c r="J249" i="4" s="1"/>
  <c r="D250" i="4" s="1"/>
  <c r="G246" i="2"/>
  <c r="H246" i="2" s="1"/>
  <c r="J246" i="2" s="1"/>
  <c r="D247" i="2" s="1"/>
  <c r="I249" i="1"/>
  <c r="K249" i="1" s="1"/>
  <c r="F249" i="1"/>
  <c r="I250" i="4" l="1"/>
  <c r="K250" i="4" s="1"/>
  <c r="F250" i="4"/>
  <c r="I247" i="2"/>
  <c r="K247" i="2" s="1"/>
  <c r="F247" i="2"/>
  <c r="G249" i="1"/>
  <c r="H249" i="1" s="1"/>
  <c r="J249" i="1" s="1"/>
  <c r="D250" i="1" s="1"/>
  <c r="G250" i="4" l="1"/>
  <c r="H250" i="4" s="1"/>
  <c r="J250" i="4" s="1"/>
  <c r="D251" i="4" s="1"/>
  <c r="G247" i="2"/>
  <c r="H247" i="2" s="1"/>
  <c r="J247" i="2" s="1"/>
  <c r="D248" i="2" s="1"/>
  <c r="I250" i="1"/>
  <c r="K250" i="1" s="1"/>
  <c r="F250" i="1"/>
  <c r="F251" i="4" l="1"/>
  <c r="I251" i="4"/>
  <c r="K251" i="4" s="1"/>
  <c r="I248" i="2"/>
  <c r="K248" i="2" s="1"/>
  <c r="F248" i="2"/>
  <c r="G250" i="1"/>
  <c r="H250" i="1" s="1"/>
  <c r="J250" i="1" s="1"/>
  <c r="D251" i="1" s="1"/>
  <c r="G251" i="4" l="1"/>
  <c r="H251" i="4" s="1"/>
  <c r="J251" i="4" s="1"/>
  <c r="D252" i="4" s="1"/>
  <c r="G248" i="2"/>
  <c r="H248" i="2" s="1"/>
  <c r="J248" i="2" s="1"/>
  <c r="D249" i="2" s="1"/>
  <c r="I251" i="1"/>
  <c r="K251" i="1" s="1"/>
  <c r="F251" i="1"/>
  <c r="I252" i="4" l="1"/>
  <c r="K252" i="4" s="1"/>
  <c r="F252" i="4"/>
  <c r="I249" i="2"/>
  <c r="K249" i="2" s="1"/>
  <c r="F249" i="2"/>
  <c r="G251" i="1"/>
  <c r="H251" i="1" s="1"/>
  <c r="J251" i="1" s="1"/>
  <c r="D252" i="1" s="1"/>
  <c r="G252" i="4" l="1"/>
  <c r="H252" i="4" s="1"/>
  <c r="J252" i="4" s="1"/>
  <c r="D253" i="4" s="1"/>
  <c r="G249" i="2"/>
  <c r="H249" i="2" s="1"/>
  <c r="J249" i="2" s="1"/>
  <c r="D250" i="2" s="1"/>
  <c r="F252" i="1"/>
  <c r="I252" i="1"/>
  <c r="K252" i="1" s="1"/>
  <c r="I253" i="4" l="1"/>
  <c r="K253" i="4" s="1"/>
  <c r="F253" i="4"/>
  <c r="I250" i="2"/>
  <c r="K250" i="2" s="1"/>
  <c r="F250" i="2"/>
  <c r="G252" i="1"/>
  <c r="H252" i="1" s="1"/>
  <c r="J252" i="1" s="1"/>
  <c r="D253" i="1" s="1"/>
  <c r="G253" i="4" l="1"/>
  <c r="H253" i="4" s="1"/>
  <c r="J253" i="4" s="1"/>
  <c r="D254" i="4" s="1"/>
  <c r="G250" i="2"/>
  <c r="H250" i="2" s="1"/>
  <c r="J250" i="2" s="1"/>
  <c r="D251" i="2" s="1"/>
  <c r="F253" i="1"/>
  <c r="I253" i="1"/>
  <c r="K253" i="1" s="1"/>
  <c r="I254" i="4" l="1"/>
  <c r="K254" i="4" s="1"/>
  <c r="F254" i="4"/>
  <c r="F251" i="2"/>
  <c r="I251" i="2"/>
  <c r="K251" i="2" s="1"/>
  <c r="G253" i="1"/>
  <c r="H253" i="1" s="1"/>
  <c r="J253" i="1" s="1"/>
  <c r="D254" i="1" s="1"/>
  <c r="G254" i="4" l="1"/>
  <c r="H254" i="4" s="1"/>
  <c r="J254" i="4" s="1"/>
  <c r="D255" i="4" s="1"/>
  <c r="G251" i="2"/>
  <c r="H251" i="2" s="1"/>
  <c r="J251" i="2" s="1"/>
  <c r="D252" i="2" s="1"/>
  <c r="F254" i="1"/>
  <c r="I254" i="1"/>
  <c r="K254" i="1" s="1"/>
  <c r="F255" i="4" l="1"/>
  <c r="I255" i="4"/>
  <c r="K255" i="4" s="1"/>
  <c r="I252" i="2"/>
  <c r="K252" i="2" s="1"/>
  <c r="F252" i="2"/>
  <c r="G254" i="1"/>
  <c r="H254" i="1" s="1"/>
  <c r="J254" i="1" s="1"/>
  <c r="D255" i="1" s="1"/>
  <c r="G255" i="4" l="1"/>
  <c r="H255" i="4" s="1"/>
  <c r="J255" i="4" s="1"/>
  <c r="D256" i="4" s="1"/>
  <c r="G252" i="2"/>
  <c r="H252" i="2" s="1"/>
  <c r="J252" i="2" s="1"/>
  <c r="D253" i="2" s="1"/>
  <c r="I255" i="1"/>
  <c r="F255" i="1"/>
  <c r="I256" i="4" l="1"/>
  <c r="K256" i="4" s="1"/>
  <c r="F256" i="4"/>
  <c r="I253" i="2"/>
  <c r="K253" i="2" s="1"/>
  <c r="F253" i="2"/>
  <c r="K255" i="1"/>
  <c r="G255" i="1"/>
  <c r="H255" i="1" s="1"/>
  <c r="J255" i="1" s="1"/>
  <c r="G256" i="4" l="1"/>
  <c r="H256" i="4" s="1"/>
  <c r="J256" i="4" s="1"/>
  <c r="D257" i="4" s="1"/>
  <c r="G253" i="2"/>
  <c r="H253" i="2" s="1"/>
  <c r="J253" i="2" s="1"/>
  <c r="D254" i="2" s="1"/>
  <c r="D256" i="1"/>
  <c r="I257" i="4" l="1"/>
  <c r="K257" i="4" s="1"/>
  <c r="F257" i="4"/>
  <c r="I254" i="2"/>
  <c r="K254" i="2" s="1"/>
  <c r="F254" i="2"/>
  <c r="I256" i="1"/>
  <c r="F256" i="1"/>
  <c r="G257" i="4" l="1"/>
  <c r="H257" i="4" s="1"/>
  <c r="J257" i="4" s="1"/>
  <c r="D258" i="4" s="1"/>
  <c r="G254" i="2"/>
  <c r="H254" i="2" s="1"/>
  <c r="J254" i="2" s="1"/>
  <c r="D255" i="2" s="1"/>
  <c r="G256" i="1"/>
  <c r="H256" i="1" s="1"/>
  <c r="J256" i="1" s="1"/>
  <c r="K256" i="1"/>
  <c r="F258" i="4" l="1"/>
  <c r="I258" i="4"/>
  <c r="K258" i="4" s="1"/>
  <c r="I255" i="2"/>
  <c r="K255" i="2" s="1"/>
  <c r="F255" i="2"/>
  <c r="D257" i="1"/>
  <c r="F257" i="1" s="1"/>
  <c r="G258" i="4" l="1"/>
  <c r="H258" i="4" s="1"/>
  <c r="J258" i="4" s="1"/>
  <c r="D259" i="4" s="1"/>
  <c r="G255" i="2"/>
  <c r="H255" i="2" s="1"/>
  <c r="J255" i="2" s="1"/>
  <c r="D256" i="2" s="1"/>
  <c r="I257" i="1"/>
  <c r="K257" i="1"/>
  <c r="G257" i="1"/>
  <c r="H257" i="1" l="1"/>
  <c r="J257" i="1" s="1"/>
  <c r="I259" i="4"/>
  <c r="K259" i="4" s="1"/>
  <c r="F259" i="4"/>
  <c r="I256" i="2"/>
  <c r="K256" i="2" s="1"/>
  <c r="F256" i="2"/>
  <c r="D258" i="1"/>
  <c r="I258" i="1" s="1"/>
  <c r="G259" i="4" l="1"/>
  <c r="H259" i="4" s="1"/>
  <c r="J259" i="4" s="1"/>
  <c r="D260" i="4" s="1"/>
  <c r="G256" i="2"/>
  <c r="H256" i="2" s="1"/>
  <c r="J256" i="2" s="1"/>
  <c r="D257" i="2" s="1"/>
  <c r="F258" i="1"/>
  <c r="G258" i="1" s="1"/>
  <c r="H258" i="1" s="1"/>
  <c r="J258" i="1" s="1"/>
  <c r="K258" i="1"/>
  <c r="I260" i="4" l="1"/>
  <c r="K260" i="4" s="1"/>
  <c r="F260" i="4"/>
  <c r="I257" i="2"/>
  <c r="K257" i="2" s="1"/>
  <c r="F257" i="2"/>
  <c r="D259" i="1"/>
  <c r="I259" i="1" s="1"/>
  <c r="G260" i="4" l="1"/>
  <c r="H260" i="4" s="1"/>
  <c r="J260" i="4" s="1"/>
  <c r="D261" i="4" s="1"/>
  <c r="G257" i="2"/>
  <c r="H257" i="2" s="1"/>
  <c r="J257" i="2" s="1"/>
  <c r="D258" i="2" s="1"/>
  <c r="F259" i="1"/>
  <c r="G259" i="1" s="1"/>
  <c r="H259" i="1" s="1"/>
  <c r="J259" i="1" s="1"/>
  <c r="K259" i="1"/>
  <c r="I261" i="4" l="1"/>
  <c r="K261" i="4" s="1"/>
  <c r="F261" i="4"/>
  <c r="I258" i="2"/>
  <c r="K258" i="2" s="1"/>
  <c r="F258" i="2"/>
  <c r="D260" i="1"/>
  <c r="I260" i="1" s="1"/>
  <c r="G261" i="4" l="1"/>
  <c r="H261" i="4" s="1"/>
  <c r="J261" i="4" s="1"/>
  <c r="D262" i="4" s="1"/>
  <c r="G258" i="2"/>
  <c r="H258" i="2" s="1"/>
  <c r="J258" i="2" s="1"/>
  <c r="D259" i="2" s="1"/>
  <c r="F260" i="1"/>
  <c r="G260" i="1" s="1"/>
  <c r="H260" i="1" s="1"/>
  <c r="J260" i="1" s="1"/>
  <c r="K260" i="1"/>
  <c r="F262" i="4" l="1"/>
  <c r="I262" i="4"/>
  <c r="K262" i="4" s="1"/>
  <c r="I259" i="2"/>
  <c r="K259" i="2" s="1"/>
  <c r="F259" i="2"/>
  <c r="D261" i="1"/>
  <c r="I261" i="1" s="1"/>
  <c r="K261" i="1" s="1"/>
  <c r="G262" i="4" l="1"/>
  <c r="H262" i="4" s="1"/>
  <c r="J262" i="4" s="1"/>
  <c r="D263" i="4" s="1"/>
  <c r="G259" i="2"/>
  <c r="H259" i="2" s="1"/>
  <c r="J259" i="2" s="1"/>
  <c r="D260" i="2" s="1"/>
  <c r="F261" i="1"/>
  <c r="G261" i="1" s="1"/>
  <c r="H261" i="1" s="1"/>
  <c r="J261" i="1" s="1"/>
  <c r="D262" i="1" s="1"/>
  <c r="I263" i="4" l="1"/>
  <c r="K263" i="4" s="1"/>
  <c r="F263" i="4"/>
  <c r="I260" i="2"/>
  <c r="K260" i="2" s="1"/>
  <c r="F260" i="2"/>
  <c r="I262" i="1"/>
  <c r="K262" i="1" s="1"/>
  <c r="F262" i="1"/>
  <c r="G263" i="4" l="1"/>
  <c r="H263" i="4" s="1"/>
  <c r="J263" i="4" s="1"/>
  <c r="D264" i="4" s="1"/>
  <c r="G260" i="2"/>
  <c r="H260" i="2" s="1"/>
  <c r="J260" i="2" s="1"/>
  <c r="D261" i="2" s="1"/>
  <c r="G262" i="1"/>
  <c r="H262" i="1" s="1"/>
  <c r="J262" i="1" s="1"/>
  <c r="D263" i="1" s="1"/>
  <c r="I264" i="4" l="1"/>
  <c r="K264" i="4" s="1"/>
  <c r="F264" i="4"/>
  <c r="I261" i="2"/>
  <c r="K261" i="2" s="1"/>
  <c r="F261" i="2"/>
  <c r="I263" i="1"/>
  <c r="K263" i="1" s="1"/>
  <c r="F263" i="1"/>
  <c r="G264" i="4" l="1"/>
  <c r="H264" i="4" s="1"/>
  <c r="J264" i="4" s="1"/>
  <c r="D265" i="4" s="1"/>
  <c r="G261" i="2"/>
  <c r="H261" i="2" s="1"/>
  <c r="J261" i="2" s="1"/>
  <c r="D262" i="2" s="1"/>
  <c r="G263" i="1"/>
  <c r="H263" i="1" s="1"/>
  <c r="J263" i="1" s="1"/>
  <c r="D264" i="1" s="1"/>
  <c r="I265" i="4" l="1"/>
  <c r="K265" i="4" s="1"/>
  <c r="F265" i="4"/>
  <c r="I262" i="2"/>
  <c r="K262" i="2" s="1"/>
  <c r="F262" i="2"/>
  <c r="I264" i="1"/>
  <c r="K264" i="1" s="1"/>
  <c r="F264" i="1"/>
  <c r="G265" i="4" l="1"/>
  <c r="H265" i="4" s="1"/>
  <c r="J265" i="4" s="1"/>
  <c r="D266" i="4" s="1"/>
  <c r="G262" i="2"/>
  <c r="H262" i="2" s="1"/>
  <c r="J262" i="2" s="1"/>
  <c r="D263" i="2" s="1"/>
  <c r="G264" i="1"/>
  <c r="H264" i="1" s="1"/>
  <c r="J264" i="1" s="1"/>
  <c r="D265" i="1" s="1"/>
  <c r="I266" i="4" l="1"/>
  <c r="K266" i="4" s="1"/>
  <c r="F266" i="4"/>
  <c r="F263" i="2"/>
  <c r="I263" i="2"/>
  <c r="K263" i="2" s="1"/>
  <c r="I265" i="1"/>
  <c r="K265" i="1" s="1"/>
  <c r="F265" i="1"/>
  <c r="G266" i="4" l="1"/>
  <c r="H266" i="4" s="1"/>
  <c r="J266" i="4" s="1"/>
  <c r="D267" i="4" s="1"/>
  <c r="G263" i="2"/>
  <c r="H263" i="2" s="1"/>
  <c r="J263" i="2" s="1"/>
  <c r="D264" i="2" s="1"/>
  <c r="G265" i="1"/>
  <c r="H265" i="1" s="1"/>
  <c r="J265" i="1" s="1"/>
  <c r="D266" i="1" s="1"/>
  <c r="I267" i="4" l="1"/>
  <c r="K267" i="4" s="1"/>
  <c r="F267" i="4"/>
  <c r="I264" i="2"/>
  <c r="K264" i="2" s="1"/>
  <c r="F264" i="2"/>
  <c r="I266" i="1"/>
  <c r="K266" i="1" s="1"/>
  <c r="F266" i="1"/>
  <c r="G267" i="4" l="1"/>
  <c r="H267" i="4" s="1"/>
  <c r="J267" i="4" s="1"/>
  <c r="D268" i="4" s="1"/>
  <c r="G264" i="2"/>
  <c r="H264" i="2" s="1"/>
  <c r="J264" i="2" s="1"/>
  <c r="D265" i="2" s="1"/>
  <c r="G266" i="1"/>
  <c r="H266" i="1" s="1"/>
  <c r="J266" i="1" s="1"/>
  <c r="D267" i="1" s="1"/>
  <c r="I268" i="4" l="1"/>
  <c r="K268" i="4" s="1"/>
  <c r="F268" i="4"/>
  <c r="I265" i="2"/>
  <c r="K265" i="2" s="1"/>
  <c r="F265" i="2"/>
  <c r="I267" i="1"/>
  <c r="K267" i="1" s="1"/>
  <c r="F267" i="1"/>
  <c r="G268" i="4" l="1"/>
  <c r="H268" i="4" s="1"/>
  <c r="J268" i="4" s="1"/>
  <c r="D269" i="4" s="1"/>
  <c r="G265" i="2"/>
  <c r="H265" i="2" s="1"/>
  <c r="J265" i="2" s="1"/>
  <c r="D266" i="2" s="1"/>
  <c r="G267" i="1"/>
  <c r="H267" i="1" s="1"/>
  <c r="J267" i="1" s="1"/>
  <c r="D268" i="1" s="1"/>
  <c r="I269" i="4" l="1"/>
  <c r="K269" i="4" s="1"/>
  <c r="F269" i="4"/>
  <c r="F266" i="2"/>
  <c r="I266" i="2"/>
  <c r="K266" i="2" s="1"/>
  <c r="I268" i="1"/>
  <c r="K268" i="1" s="1"/>
  <c r="F268" i="1"/>
  <c r="G269" i="4" l="1"/>
  <c r="H269" i="4" s="1"/>
  <c r="J269" i="4" s="1"/>
  <c r="D270" i="4" s="1"/>
  <c r="G266" i="2"/>
  <c r="H266" i="2" s="1"/>
  <c r="J266" i="2" s="1"/>
  <c r="D267" i="2" s="1"/>
  <c r="G268" i="1"/>
  <c r="H268" i="1" s="1"/>
  <c r="J268" i="1" s="1"/>
  <c r="D269" i="1" s="1"/>
  <c r="I270" i="4" l="1"/>
  <c r="K270" i="4" s="1"/>
  <c r="F270" i="4"/>
  <c r="F267" i="2"/>
  <c r="I267" i="2"/>
  <c r="K267" i="2" s="1"/>
  <c r="F269" i="1"/>
  <c r="I269" i="1"/>
  <c r="K269" i="1" s="1"/>
  <c r="G270" i="4" l="1"/>
  <c r="H270" i="4" s="1"/>
  <c r="J270" i="4" s="1"/>
  <c r="D271" i="4" s="1"/>
  <c r="G267" i="2"/>
  <c r="H267" i="2" s="1"/>
  <c r="J267" i="2" s="1"/>
  <c r="D268" i="2" s="1"/>
  <c r="G269" i="1"/>
  <c r="H269" i="1" s="1"/>
  <c r="J269" i="1" s="1"/>
  <c r="D270" i="1" s="1"/>
  <c r="I271" i="4" l="1"/>
  <c r="K271" i="4" s="1"/>
  <c r="F271" i="4"/>
  <c r="F268" i="2"/>
  <c r="I268" i="2"/>
  <c r="K268" i="2" s="1"/>
  <c r="I270" i="1"/>
  <c r="K270" i="1" s="1"/>
  <c r="F270" i="1"/>
  <c r="G271" i="4" l="1"/>
  <c r="H271" i="4" s="1"/>
  <c r="J271" i="4" s="1"/>
  <c r="D272" i="4" s="1"/>
  <c r="G268" i="2"/>
  <c r="H268" i="2" s="1"/>
  <c r="J268" i="2" s="1"/>
  <c r="D269" i="2" s="1"/>
  <c r="G270" i="1"/>
  <c r="H270" i="1" s="1"/>
  <c r="J270" i="1" s="1"/>
  <c r="D271" i="1" s="1"/>
  <c r="I272" i="4" l="1"/>
  <c r="K272" i="4" s="1"/>
  <c r="F272" i="4"/>
  <c r="I269" i="2"/>
  <c r="K269" i="2" s="1"/>
  <c r="F269" i="2"/>
  <c r="I271" i="1"/>
  <c r="K271" i="1" s="1"/>
  <c r="F271" i="1"/>
  <c r="G272" i="4" l="1"/>
  <c r="H272" i="4" s="1"/>
  <c r="J272" i="4" s="1"/>
  <c r="D273" i="4" s="1"/>
  <c r="G269" i="2"/>
  <c r="H269" i="2" s="1"/>
  <c r="J269" i="2" s="1"/>
  <c r="D270" i="2" s="1"/>
  <c r="G271" i="1"/>
  <c r="H271" i="1" s="1"/>
  <c r="J271" i="1" s="1"/>
  <c r="D272" i="1" s="1"/>
  <c r="I273" i="4" l="1"/>
  <c r="K273" i="4" s="1"/>
  <c r="F273" i="4"/>
  <c r="I270" i="2"/>
  <c r="K270" i="2" s="1"/>
  <c r="F270" i="2"/>
  <c r="I272" i="1"/>
  <c r="K272" i="1" s="1"/>
  <c r="F272" i="1"/>
  <c r="G273" i="4" l="1"/>
  <c r="H273" i="4" s="1"/>
  <c r="J273" i="4" s="1"/>
  <c r="D274" i="4" s="1"/>
  <c r="G270" i="2"/>
  <c r="H270" i="2" s="1"/>
  <c r="J270" i="2" s="1"/>
  <c r="D271" i="2" s="1"/>
  <c r="G272" i="1"/>
  <c r="H272" i="1" s="1"/>
  <c r="J272" i="1" s="1"/>
  <c r="D273" i="1" s="1"/>
  <c r="I274" i="4" l="1"/>
  <c r="K274" i="4" s="1"/>
  <c r="F274" i="4"/>
  <c r="F271" i="2"/>
  <c r="I271" i="2"/>
  <c r="K271" i="2" s="1"/>
  <c r="I273" i="1"/>
  <c r="K273" i="1" s="1"/>
  <c r="F273" i="1"/>
  <c r="G274" i="4" l="1"/>
  <c r="H274" i="4" s="1"/>
  <c r="J274" i="4" s="1"/>
  <c r="D275" i="4" s="1"/>
  <c r="G271" i="2"/>
  <c r="H271" i="2" s="1"/>
  <c r="J271" i="2" s="1"/>
  <c r="D272" i="2" s="1"/>
  <c r="G273" i="1"/>
  <c r="H273" i="1" s="1"/>
  <c r="J273" i="1" s="1"/>
  <c r="D274" i="1" s="1"/>
  <c r="F275" i="4" l="1"/>
  <c r="I275" i="4"/>
  <c r="K275" i="4" s="1"/>
  <c r="I272" i="2"/>
  <c r="K272" i="2" s="1"/>
  <c r="F272" i="2"/>
  <c r="I274" i="1"/>
  <c r="K274" i="1" s="1"/>
  <c r="F274" i="1"/>
  <c r="G275" i="4" l="1"/>
  <c r="H275" i="4" s="1"/>
  <c r="J275" i="4" s="1"/>
  <c r="D276" i="4" s="1"/>
  <c r="G272" i="2"/>
  <c r="H272" i="2" s="1"/>
  <c r="J272" i="2" s="1"/>
  <c r="D273" i="2" s="1"/>
  <c r="G274" i="1"/>
  <c r="H274" i="1" s="1"/>
  <c r="J274" i="1" s="1"/>
  <c r="D275" i="1" s="1"/>
  <c r="I276" i="4" l="1"/>
  <c r="K276" i="4" s="1"/>
  <c r="F276" i="4"/>
  <c r="F273" i="2"/>
  <c r="I273" i="2"/>
  <c r="K273" i="2" s="1"/>
  <c r="I275" i="1"/>
  <c r="K275" i="1" s="1"/>
  <c r="F275" i="1"/>
  <c r="G276" i="4" l="1"/>
  <c r="H276" i="4" s="1"/>
  <c r="J276" i="4" s="1"/>
  <c r="D277" i="4" s="1"/>
  <c r="G273" i="2"/>
  <c r="H273" i="2" s="1"/>
  <c r="J273" i="2" s="1"/>
  <c r="D274" i="2" s="1"/>
  <c r="G275" i="1"/>
  <c r="H275" i="1" s="1"/>
  <c r="J275" i="1" s="1"/>
  <c r="D276" i="1" s="1"/>
  <c r="F277" i="4" l="1"/>
  <c r="I277" i="4"/>
  <c r="K277" i="4" s="1"/>
  <c r="I274" i="2"/>
  <c r="K274" i="2" s="1"/>
  <c r="F274" i="2"/>
  <c r="I276" i="1"/>
  <c r="K276" i="1" s="1"/>
  <c r="F276" i="1"/>
  <c r="G277" i="4" l="1"/>
  <c r="H277" i="4" s="1"/>
  <c r="J277" i="4" s="1"/>
  <c r="D278" i="4" s="1"/>
  <c r="G274" i="2"/>
  <c r="H274" i="2" s="1"/>
  <c r="J274" i="2" s="1"/>
  <c r="D275" i="2" s="1"/>
  <c r="G276" i="1"/>
  <c r="H276" i="1" s="1"/>
  <c r="J276" i="1" s="1"/>
  <c r="D277" i="1" s="1"/>
  <c r="I278" i="4" l="1"/>
  <c r="K278" i="4" s="1"/>
  <c r="F278" i="4"/>
  <c r="I275" i="2"/>
  <c r="K275" i="2" s="1"/>
  <c r="F275" i="2"/>
  <c r="I277" i="1"/>
  <c r="K277" i="1" s="1"/>
  <c r="F277" i="1"/>
  <c r="G278" i="4" l="1"/>
  <c r="H278" i="4" s="1"/>
  <c r="J278" i="4" s="1"/>
  <c r="D279" i="4" s="1"/>
  <c r="G275" i="2"/>
  <c r="H275" i="2" s="1"/>
  <c r="J275" i="2" s="1"/>
  <c r="D276" i="2" s="1"/>
  <c r="G277" i="1"/>
  <c r="H277" i="1" s="1"/>
  <c r="J277" i="1" s="1"/>
  <c r="D278" i="1" s="1"/>
  <c r="F279" i="4" l="1"/>
  <c r="I279" i="4"/>
  <c r="K279" i="4" s="1"/>
  <c r="F276" i="2"/>
  <c r="I276" i="2"/>
  <c r="K276" i="2" s="1"/>
  <c r="I278" i="1"/>
  <c r="K278" i="1" s="1"/>
  <c r="F278" i="1"/>
  <c r="G279" i="4" l="1"/>
  <c r="H279" i="4" s="1"/>
  <c r="J279" i="4" s="1"/>
  <c r="D280" i="4" s="1"/>
  <c r="G276" i="2"/>
  <c r="H276" i="2" s="1"/>
  <c r="J276" i="2" s="1"/>
  <c r="D277" i="2" s="1"/>
  <c r="G278" i="1"/>
  <c r="H278" i="1" s="1"/>
  <c r="J278" i="1" s="1"/>
  <c r="D279" i="1" s="1"/>
  <c r="I280" i="4" l="1"/>
  <c r="K280" i="4" s="1"/>
  <c r="F280" i="4"/>
  <c r="I277" i="2"/>
  <c r="K277" i="2" s="1"/>
  <c r="F277" i="2"/>
  <c r="I279" i="1"/>
  <c r="K279" i="1" s="1"/>
  <c r="F279" i="1"/>
  <c r="G280" i="4" l="1"/>
  <c r="H280" i="4" s="1"/>
  <c r="J280" i="4" s="1"/>
  <c r="D281" i="4" s="1"/>
  <c r="G277" i="2"/>
  <c r="H277" i="2" s="1"/>
  <c r="J277" i="2" s="1"/>
  <c r="D278" i="2" s="1"/>
  <c r="G279" i="1"/>
  <c r="H279" i="1" s="1"/>
  <c r="J279" i="1" s="1"/>
  <c r="D280" i="1" s="1"/>
  <c r="I281" i="4" l="1"/>
  <c r="K281" i="4" s="1"/>
  <c r="F281" i="4"/>
  <c r="I278" i="2"/>
  <c r="K278" i="2" s="1"/>
  <c r="F278" i="2"/>
  <c r="I280" i="1"/>
  <c r="K280" i="1" s="1"/>
  <c r="F280" i="1"/>
  <c r="G281" i="4" l="1"/>
  <c r="H281" i="4" s="1"/>
  <c r="J281" i="4" s="1"/>
  <c r="D282" i="4" s="1"/>
  <c r="G278" i="2"/>
  <c r="H278" i="2" s="1"/>
  <c r="J278" i="2" s="1"/>
  <c r="D279" i="2" s="1"/>
  <c r="G280" i="1"/>
  <c r="H280" i="1" s="1"/>
  <c r="J280" i="1" s="1"/>
  <c r="D281" i="1" s="1"/>
  <c r="I282" i="4" l="1"/>
  <c r="K282" i="4" s="1"/>
  <c r="F282" i="4"/>
  <c r="I279" i="2"/>
  <c r="K279" i="2" s="1"/>
  <c r="F279" i="2"/>
  <c r="I281" i="1"/>
  <c r="K281" i="1" s="1"/>
  <c r="F281" i="1"/>
  <c r="G282" i="4" l="1"/>
  <c r="H282" i="4" s="1"/>
  <c r="J282" i="4" s="1"/>
  <c r="D283" i="4" s="1"/>
  <c r="G279" i="2"/>
  <c r="H279" i="2" s="1"/>
  <c r="J279" i="2" s="1"/>
  <c r="D280" i="2" s="1"/>
  <c r="G281" i="1"/>
  <c r="H281" i="1" s="1"/>
  <c r="J281" i="1" s="1"/>
  <c r="D282" i="1" s="1"/>
  <c r="F283" i="4" l="1"/>
  <c r="I283" i="4"/>
  <c r="K283" i="4" s="1"/>
  <c r="I280" i="2"/>
  <c r="K280" i="2" s="1"/>
  <c r="F280" i="2"/>
  <c r="I282" i="1"/>
  <c r="K282" i="1" s="1"/>
  <c r="F282" i="1"/>
  <c r="G283" i="4" l="1"/>
  <c r="H283" i="4" s="1"/>
  <c r="J283" i="4" s="1"/>
  <c r="D284" i="4" s="1"/>
  <c r="G280" i="2"/>
  <c r="H280" i="2" s="1"/>
  <c r="J280" i="2" s="1"/>
  <c r="D281" i="2" s="1"/>
  <c r="G282" i="1"/>
  <c r="H282" i="1" s="1"/>
  <c r="J282" i="1" s="1"/>
  <c r="D283" i="1" s="1"/>
  <c r="I284" i="4" l="1"/>
  <c r="K284" i="4" s="1"/>
  <c r="F284" i="4"/>
  <c r="I281" i="2"/>
  <c r="K281" i="2" s="1"/>
  <c r="F281" i="2"/>
  <c r="F283" i="1"/>
  <c r="I283" i="1"/>
  <c r="K283" i="1" s="1"/>
  <c r="G284" i="4" l="1"/>
  <c r="H284" i="4" s="1"/>
  <c r="J284" i="4" s="1"/>
  <c r="D285" i="4" s="1"/>
  <c r="G281" i="2"/>
  <c r="H281" i="2" s="1"/>
  <c r="J281" i="2" s="1"/>
  <c r="D282" i="2" s="1"/>
  <c r="G283" i="1"/>
  <c r="H283" i="1" s="1"/>
  <c r="J283" i="1" s="1"/>
  <c r="D284" i="1" s="1"/>
  <c r="F285" i="4" l="1"/>
  <c r="I285" i="4"/>
  <c r="K285" i="4" s="1"/>
  <c r="F282" i="2"/>
  <c r="I282" i="2"/>
  <c r="K282" i="2" s="1"/>
  <c r="I284" i="1"/>
  <c r="K284" i="1" s="1"/>
  <c r="F284" i="1"/>
  <c r="G285" i="4" l="1"/>
  <c r="H285" i="4" s="1"/>
  <c r="J285" i="4" s="1"/>
  <c r="D286" i="4" s="1"/>
  <c r="G282" i="2"/>
  <c r="H282" i="2" s="1"/>
  <c r="J282" i="2" s="1"/>
  <c r="D283" i="2" s="1"/>
  <c r="G284" i="1"/>
  <c r="H284" i="1" s="1"/>
  <c r="J284" i="1" s="1"/>
  <c r="D285" i="1" s="1"/>
  <c r="I286" i="4" l="1"/>
  <c r="K286" i="4" s="1"/>
  <c r="F286" i="4"/>
  <c r="I283" i="2"/>
  <c r="K283" i="2" s="1"/>
  <c r="F283" i="2"/>
  <c r="I285" i="1"/>
  <c r="K285" i="1" s="1"/>
  <c r="F285" i="1"/>
  <c r="G286" i="4" l="1"/>
  <c r="H286" i="4" s="1"/>
  <c r="J286" i="4" s="1"/>
  <c r="D287" i="4" s="1"/>
  <c r="G283" i="2"/>
  <c r="H283" i="2" s="1"/>
  <c r="J283" i="2" s="1"/>
  <c r="D284" i="2" s="1"/>
  <c r="G285" i="1"/>
  <c r="H285" i="1" s="1"/>
  <c r="J285" i="1" s="1"/>
  <c r="D286" i="1" s="1"/>
  <c r="F287" i="4" l="1"/>
  <c r="I287" i="4"/>
  <c r="K287" i="4" s="1"/>
  <c r="I284" i="2"/>
  <c r="K284" i="2" s="1"/>
  <c r="F284" i="2"/>
  <c r="F286" i="1"/>
  <c r="I286" i="1"/>
  <c r="K286" i="1" s="1"/>
  <c r="G287" i="4" l="1"/>
  <c r="H287" i="4" s="1"/>
  <c r="J287" i="4" s="1"/>
  <c r="D288" i="4" s="1"/>
  <c r="G284" i="2"/>
  <c r="H284" i="2" s="1"/>
  <c r="J284" i="2" s="1"/>
  <c r="D285" i="2" s="1"/>
  <c r="G286" i="1"/>
  <c r="H286" i="1" s="1"/>
  <c r="J286" i="1" s="1"/>
  <c r="D287" i="1" s="1"/>
  <c r="I288" i="4" l="1"/>
  <c r="K288" i="4" s="1"/>
  <c r="F288" i="4"/>
  <c r="I285" i="2"/>
  <c r="K285" i="2" s="1"/>
  <c r="F285" i="2"/>
  <c r="I287" i="1"/>
  <c r="K287" i="1" s="1"/>
  <c r="F287" i="1"/>
  <c r="G288" i="4" l="1"/>
  <c r="H288" i="4" s="1"/>
  <c r="J288" i="4" s="1"/>
  <c r="D289" i="4" s="1"/>
  <c r="G285" i="2"/>
  <c r="H285" i="2" s="1"/>
  <c r="J285" i="2" s="1"/>
  <c r="D286" i="2" s="1"/>
  <c r="G287" i="1"/>
  <c r="H287" i="1" s="1"/>
  <c r="J287" i="1" s="1"/>
  <c r="D288" i="1" s="1"/>
  <c r="F289" i="4" l="1"/>
  <c r="I289" i="4"/>
  <c r="K289" i="4" s="1"/>
  <c r="I286" i="2"/>
  <c r="K286" i="2" s="1"/>
  <c r="F286" i="2"/>
  <c r="I288" i="1"/>
  <c r="K288" i="1" s="1"/>
  <c r="F288" i="1"/>
  <c r="G289" i="4" l="1"/>
  <c r="H289" i="4" s="1"/>
  <c r="J289" i="4" s="1"/>
  <c r="D290" i="4" s="1"/>
  <c r="G286" i="2"/>
  <c r="H286" i="2" s="1"/>
  <c r="J286" i="2" s="1"/>
  <c r="D287" i="2" s="1"/>
  <c r="G288" i="1"/>
  <c r="H288" i="1" s="1"/>
  <c r="J288" i="1" s="1"/>
  <c r="D289" i="1" s="1"/>
  <c r="I290" i="4" l="1"/>
  <c r="K290" i="4" s="1"/>
  <c r="F290" i="4"/>
  <c r="I287" i="2"/>
  <c r="K287" i="2" s="1"/>
  <c r="F287" i="2"/>
  <c r="I289" i="1"/>
  <c r="K289" i="1" s="1"/>
  <c r="F289" i="1"/>
  <c r="G290" i="4" l="1"/>
  <c r="H290" i="4" s="1"/>
  <c r="J290" i="4" s="1"/>
  <c r="D291" i="4" s="1"/>
  <c r="G287" i="2"/>
  <c r="H287" i="2" s="1"/>
  <c r="J287" i="2" s="1"/>
  <c r="D288" i="2" s="1"/>
  <c r="G289" i="1"/>
  <c r="H289" i="1" s="1"/>
  <c r="J289" i="1" s="1"/>
  <c r="D290" i="1" s="1"/>
  <c r="I291" i="4" l="1"/>
  <c r="K291" i="4" s="1"/>
  <c r="F291" i="4"/>
  <c r="I288" i="2"/>
  <c r="K288" i="2" s="1"/>
  <c r="F288" i="2"/>
  <c r="I290" i="1"/>
  <c r="K290" i="1" s="1"/>
  <c r="F290" i="1"/>
  <c r="G291" i="4" l="1"/>
  <c r="H291" i="4" s="1"/>
  <c r="J291" i="4" s="1"/>
  <c r="D292" i="4" s="1"/>
  <c r="G288" i="2"/>
  <c r="H288" i="2" s="1"/>
  <c r="J288" i="2" s="1"/>
  <c r="D289" i="2" s="1"/>
  <c r="G290" i="1"/>
  <c r="H290" i="1" s="1"/>
  <c r="J290" i="1" s="1"/>
  <c r="D291" i="1" s="1"/>
  <c r="F292" i="4" l="1"/>
  <c r="I292" i="4"/>
  <c r="K292" i="4" s="1"/>
  <c r="F289" i="2"/>
  <c r="I289" i="2"/>
  <c r="K289" i="2" s="1"/>
  <c r="I291" i="1"/>
  <c r="K291" i="1" s="1"/>
  <c r="F291" i="1"/>
  <c r="G292" i="4" l="1"/>
  <c r="H292" i="4" s="1"/>
  <c r="J292" i="4" s="1"/>
  <c r="D293" i="4" s="1"/>
  <c r="G289" i="2"/>
  <c r="H289" i="2" s="1"/>
  <c r="J289" i="2" s="1"/>
  <c r="D290" i="2" s="1"/>
  <c r="G291" i="1"/>
  <c r="H291" i="1" s="1"/>
  <c r="J291" i="1" s="1"/>
  <c r="D292" i="1" s="1"/>
  <c r="I293" i="4" l="1"/>
  <c r="K293" i="4" s="1"/>
  <c r="F293" i="4"/>
  <c r="I290" i="2"/>
  <c r="K290" i="2" s="1"/>
  <c r="F290" i="2"/>
  <c r="I292" i="1"/>
  <c r="K292" i="1" s="1"/>
  <c r="F292" i="1"/>
  <c r="G293" i="4" l="1"/>
  <c r="H293" i="4" s="1"/>
  <c r="J293" i="4" s="1"/>
  <c r="D294" i="4" s="1"/>
  <c r="G290" i="2"/>
  <c r="H290" i="2" s="1"/>
  <c r="J290" i="2" s="1"/>
  <c r="D291" i="2" s="1"/>
  <c r="G292" i="1"/>
  <c r="H292" i="1" s="1"/>
  <c r="J292" i="1" s="1"/>
  <c r="D293" i="1" s="1"/>
  <c r="F294" i="4" l="1"/>
  <c r="I294" i="4"/>
  <c r="K294" i="4" s="1"/>
  <c r="I291" i="2"/>
  <c r="K291" i="2" s="1"/>
  <c r="F291" i="2"/>
  <c r="I293" i="1"/>
  <c r="K293" i="1" s="1"/>
  <c r="F293" i="1"/>
  <c r="G294" i="4" l="1"/>
  <c r="H294" i="4" s="1"/>
  <c r="J294" i="4" s="1"/>
  <c r="D295" i="4" s="1"/>
  <c r="G291" i="2"/>
  <c r="H291" i="2" s="1"/>
  <c r="J291" i="2" s="1"/>
  <c r="D292" i="2" s="1"/>
  <c r="G293" i="1"/>
  <c r="H293" i="1" s="1"/>
  <c r="J293" i="1" s="1"/>
  <c r="D294" i="1" s="1"/>
  <c r="I295" i="4" l="1"/>
  <c r="K295" i="4" s="1"/>
  <c r="F295" i="4"/>
  <c r="I292" i="2"/>
  <c r="K292" i="2" s="1"/>
  <c r="F292" i="2"/>
  <c r="F294" i="1"/>
  <c r="I294" i="1"/>
  <c r="K294" i="1" s="1"/>
  <c r="G295" i="4" l="1"/>
  <c r="H295" i="4" s="1"/>
  <c r="J295" i="4" s="1"/>
  <c r="D296" i="4" s="1"/>
  <c r="G292" i="2"/>
  <c r="H292" i="2" s="1"/>
  <c r="J292" i="2" s="1"/>
  <c r="D293" i="2" s="1"/>
  <c r="G294" i="1"/>
  <c r="H294" i="1" s="1"/>
  <c r="J294" i="1" s="1"/>
  <c r="D295" i="1" s="1"/>
  <c r="F296" i="4" l="1"/>
  <c r="I296" i="4"/>
  <c r="K296" i="4" s="1"/>
  <c r="I293" i="2"/>
  <c r="K293" i="2" s="1"/>
  <c r="F293" i="2"/>
  <c r="I295" i="1"/>
  <c r="K295" i="1" s="1"/>
  <c r="F295" i="1"/>
  <c r="G296" i="4" l="1"/>
  <c r="H296" i="4" s="1"/>
  <c r="J296" i="4" s="1"/>
  <c r="D297" i="4" s="1"/>
  <c r="G293" i="2"/>
  <c r="H293" i="2" s="1"/>
  <c r="J293" i="2" s="1"/>
  <c r="D294" i="2" s="1"/>
  <c r="G295" i="1"/>
  <c r="H295" i="1" s="1"/>
  <c r="J295" i="1" s="1"/>
  <c r="D296" i="1" s="1"/>
  <c r="I297" i="4" l="1"/>
  <c r="K297" i="4" s="1"/>
  <c r="F297" i="4"/>
  <c r="I294" i="2"/>
  <c r="K294" i="2" s="1"/>
  <c r="F294" i="2"/>
  <c r="F296" i="1"/>
  <c r="I296" i="1"/>
  <c r="K296" i="1" s="1"/>
  <c r="G297" i="4" l="1"/>
  <c r="H297" i="4" s="1"/>
  <c r="J297" i="4" s="1"/>
  <c r="D298" i="4" s="1"/>
  <c r="G294" i="2"/>
  <c r="H294" i="2" s="1"/>
  <c r="J294" i="2" s="1"/>
  <c r="D295" i="2" s="1"/>
  <c r="G296" i="1"/>
  <c r="H296" i="1" s="1"/>
  <c r="J296" i="1" s="1"/>
  <c r="D297" i="1" s="1"/>
  <c r="F298" i="4" l="1"/>
  <c r="I298" i="4"/>
  <c r="K298" i="4" s="1"/>
  <c r="F295" i="2"/>
  <c r="I295" i="2"/>
  <c r="K295" i="2" s="1"/>
  <c r="I297" i="1"/>
  <c r="K297" i="1" s="1"/>
  <c r="F297" i="1"/>
  <c r="G298" i="4" l="1"/>
  <c r="H298" i="4" s="1"/>
  <c r="J298" i="4" s="1"/>
  <c r="D299" i="4" s="1"/>
  <c r="G295" i="2"/>
  <c r="H295" i="2" s="1"/>
  <c r="J295" i="2" s="1"/>
  <c r="D296" i="2" s="1"/>
  <c r="G297" i="1"/>
  <c r="H297" i="1" s="1"/>
  <c r="J297" i="1" s="1"/>
  <c r="D298" i="1" s="1"/>
  <c r="F299" i="4" l="1"/>
  <c r="I299" i="4"/>
  <c r="K299" i="4" s="1"/>
  <c r="F296" i="2"/>
  <c r="I296" i="2"/>
  <c r="K296" i="2" s="1"/>
  <c r="F298" i="1"/>
  <c r="I298" i="1"/>
  <c r="K298" i="1" s="1"/>
  <c r="G299" i="4" l="1"/>
  <c r="H299" i="4" s="1"/>
  <c r="J299" i="4" s="1"/>
  <c r="D300" i="4" s="1"/>
  <c r="G296" i="2"/>
  <c r="H296" i="2" s="1"/>
  <c r="J296" i="2" s="1"/>
  <c r="D297" i="2" s="1"/>
  <c r="G298" i="1"/>
  <c r="H298" i="1" s="1"/>
  <c r="J298" i="1" s="1"/>
  <c r="D299" i="1" s="1"/>
  <c r="I300" i="4" l="1"/>
  <c r="K300" i="4" s="1"/>
  <c r="F300" i="4"/>
  <c r="F297" i="2"/>
  <c r="I297" i="2"/>
  <c r="K297" i="2" s="1"/>
  <c r="I299" i="1"/>
  <c r="K299" i="1" s="1"/>
  <c r="F299" i="1"/>
  <c r="G300" i="4" l="1"/>
  <c r="H300" i="4" s="1"/>
  <c r="J300" i="4" s="1"/>
  <c r="D301" i="4" s="1"/>
  <c r="G297" i="2"/>
  <c r="H297" i="2" s="1"/>
  <c r="J297" i="2" s="1"/>
  <c r="D298" i="2" s="1"/>
  <c r="G299" i="1"/>
  <c r="H299" i="1" s="1"/>
  <c r="J299" i="1" s="1"/>
  <c r="D300" i="1" s="1"/>
  <c r="I301" i="4" l="1"/>
  <c r="K301" i="4" s="1"/>
  <c r="F301" i="4"/>
  <c r="I298" i="2"/>
  <c r="K298" i="2" s="1"/>
  <c r="F298" i="2"/>
  <c r="I300" i="1"/>
  <c r="K300" i="1" s="1"/>
  <c r="F300" i="1"/>
  <c r="G301" i="4" l="1"/>
  <c r="H301" i="4" s="1"/>
  <c r="J301" i="4" s="1"/>
  <c r="D302" i="4" s="1"/>
  <c r="G298" i="2"/>
  <c r="H298" i="2" s="1"/>
  <c r="J298" i="2" s="1"/>
  <c r="D299" i="2" s="1"/>
  <c r="G300" i="1"/>
  <c r="H300" i="1" s="1"/>
  <c r="J300" i="1" s="1"/>
  <c r="D301" i="1" s="1"/>
  <c r="I302" i="4" l="1"/>
  <c r="K302" i="4" s="1"/>
  <c r="F302" i="4"/>
  <c r="F299" i="2"/>
  <c r="I299" i="2"/>
  <c r="K299" i="2" s="1"/>
  <c r="I301" i="1"/>
  <c r="K301" i="1" s="1"/>
  <c r="F301" i="1"/>
  <c r="G302" i="4" l="1"/>
  <c r="H302" i="4" s="1"/>
  <c r="J302" i="4" s="1"/>
  <c r="D303" i="4" s="1"/>
  <c r="G299" i="2"/>
  <c r="H299" i="2" s="1"/>
  <c r="J299" i="2" s="1"/>
  <c r="D300" i="2" s="1"/>
  <c r="G301" i="1"/>
  <c r="H301" i="1" s="1"/>
  <c r="J301" i="1" s="1"/>
  <c r="D302" i="1" s="1"/>
  <c r="I303" i="4" l="1"/>
  <c r="K303" i="4" s="1"/>
  <c r="F303" i="4"/>
  <c r="I300" i="2"/>
  <c r="K300" i="2" s="1"/>
  <c r="F300" i="2"/>
  <c r="I302" i="1"/>
  <c r="K302" i="1" s="1"/>
  <c r="F302" i="1"/>
  <c r="G303" i="4" l="1"/>
  <c r="H303" i="4" s="1"/>
  <c r="J303" i="4" s="1"/>
  <c r="D304" i="4" s="1"/>
  <c r="G300" i="2"/>
  <c r="H300" i="2" s="1"/>
  <c r="J300" i="2" s="1"/>
  <c r="D301" i="2" s="1"/>
  <c r="G302" i="1"/>
  <c r="H302" i="1" s="1"/>
  <c r="J302" i="1" s="1"/>
  <c r="D303" i="1" s="1"/>
  <c r="I304" i="4" l="1"/>
  <c r="K304" i="4" s="1"/>
  <c r="F304" i="4"/>
  <c r="I301" i="2"/>
  <c r="K301" i="2" s="1"/>
  <c r="F301" i="2"/>
  <c r="F303" i="1"/>
  <c r="I303" i="1"/>
  <c r="K303" i="1" s="1"/>
  <c r="G304" i="4" l="1"/>
  <c r="H304" i="4" s="1"/>
  <c r="J304" i="4" s="1"/>
  <c r="D305" i="4" s="1"/>
  <c r="G301" i="2"/>
  <c r="H301" i="2" s="1"/>
  <c r="J301" i="2" s="1"/>
  <c r="D302" i="2" s="1"/>
  <c r="G303" i="1"/>
  <c r="H303" i="1" s="1"/>
  <c r="J303" i="1" s="1"/>
  <c r="D304" i="1" s="1"/>
  <c r="I305" i="4" l="1"/>
  <c r="K305" i="4" s="1"/>
  <c r="F305" i="4"/>
  <c r="F302" i="2"/>
  <c r="I302" i="2"/>
  <c r="K302" i="2" s="1"/>
  <c r="I304" i="1"/>
  <c r="K304" i="1" s="1"/>
  <c r="F304" i="1"/>
  <c r="G305" i="4" l="1"/>
  <c r="H305" i="4" s="1"/>
  <c r="J305" i="4" s="1"/>
  <c r="D306" i="4" s="1"/>
  <c r="G302" i="2"/>
  <c r="H302" i="2" s="1"/>
  <c r="J302" i="2" s="1"/>
  <c r="D303" i="2" s="1"/>
  <c r="G304" i="1"/>
  <c r="H304" i="1" s="1"/>
  <c r="J304" i="1" s="1"/>
  <c r="D305" i="1" s="1"/>
  <c r="I306" i="4" l="1"/>
  <c r="K306" i="4" s="1"/>
  <c r="F306" i="4"/>
  <c r="I303" i="2"/>
  <c r="K303" i="2" s="1"/>
  <c r="F303" i="2"/>
  <c r="F305" i="1"/>
  <c r="I305" i="1"/>
  <c r="K305" i="1" s="1"/>
  <c r="G306" i="4" l="1"/>
  <c r="H306" i="4" s="1"/>
  <c r="J306" i="4" s="1"/>
  <c r="D307" i="4" s="1"/>
  <c r="G303" i="2"/>
  <c r="H303" i="2" s="1"/>
  <c r="J303" i="2" s="1"/>
  <c r="D304" i="2" s="1"/>
  <c r="G305" i="1"/>
  <c r="H305" i="1" s="1"/>
  <c r="J305" i="1" s="1"/>
  <c r="D306" i="1" s="1"/>
  <c r="F307" i="4" l="1"/>
  <c r="I307" i="4"/>
  <c r="K307" i="4" s="1"/>
  <c r="I304" i="2"/>
  <c r="K304" i="2" s="1"/>
  <c r="F304" i="2"/>
  <c r="I306" i="1"/>
  <c r="K306" i="1" s="1"/>
  <c r="F306" i="1"/>
  <c r="G307" i="4" l="1"/>
  <c r="H307" i="4" s="1"/>
  <c r="J307" i="4" s="1"/>
  <c r="D308" i="4" s="1"/>
  <c r="G304" i="2"/>
  <c r="H304" i="2" s="1"/>
  <c r="J304" i="2" s="1"/>
  <c r="D305" i="2" s="1"/>
  <c r="G306" i="1"/>
  <c r="H306" i="1" s="1"/>
  <c r="J306" i="1" s="1"/>
  <c r="D307" i="1" s="1"/>
  <c r="I308" i="4" l="1"/>
  <c r="K308" i="4" s="1"/>
  <c r="F308" i="4"/>
  <c r="F305" i="2"/>
  <c r="I305" i="2"/>
  <c r="K305" i="2" s="1"/>
  <c r="I307" i="1"/>
  <c r="K307" i="1" s="1"/>
  <c r="F307" i="1"/>
  <c r="G308" i="4" l="1"/>
  <c r="H308" i="4" s="1"/>
  <c r="J308" i="4" s="1"/>
  <c r="D309" i="4" s="1"/>
  <c r="G305" i="2"/>
  <c r="H305" i="2" s="1"/>
  <c r="J305" i="2" s="1"/>
  <c r="D306" i="2" s="1"/>
  <c r="G307" i="1"/>
  <c r="H307" i="1" s="1"/>
  <c r="J307" i="1" s="1"/>
  <c r="D308" i="1" s="1"/>
  <c r="I309" i="4" l="1"/>
  <c r="K309" i="4" s="1"/>
  <c r="F309" i="4"/>
  <c r="I306" i="2"/>
  <c r="K306" i="2" s="1"/>
  <c r="F306" i="2"/>
  <c r="I308" i="1"/>
  <c r="K308" i="1" s="1"/>
  <c r="F308" i="1"/>
  <c r="G309" i="4" l="1"/>
  <c r="H309" i="4" s="1"/>
  <c r="J309" i="4" s="1"/>
  <c r="D310" i="4" s="1"/>
  <c r="G306" i="2"/>
  <c r="H306" i="2" s="1"/>
  <c r="J306" i="2" s="1"/>
  <c r="D307" i="2" s="1"/>
  <c r="G308" i="1"/>
  <c r="H308" i="1" s="1"/>
  <c r="J308" i="1" s="1"/>
  <c r="D309" i="1" s="1"/>
  <c r="I310" i="4" l="1"/>
  <c r="K310" i="4" s="1"/>
  <c r="F310" i="4"/>
  <c r="F307" i="2"/>
  <c r="I307" i="2"/>
  <c r="K307" i="2" s="1"/>
  <c r="I309" i="1"/>
  <c r="K309" i="1" s="1"/>
  <c r="F309" i="1"/>
  <c r="G310" i="4" l="1"/>
  <c r="H310" i="4" s="1"/>
  <c r="J310" i="4" s="1"/>
  <c r="D311" i="4" s="1"/>
  <c r="G307" i="2"/>
  <c r="H307" i="2" s="1"/>
  <c r="J307" i="2" s="1"/>
  <c r="D308" i="2" s="1"/>
  <c r="G309" i="1"/>
  <c r="H309" i="1" s="1"/>
  <c r="J309" i="1" s="1"/>
  <c r="D310" i="1" s="1"/>
  <c r="I311" i="4" l="1"/>
  <c r="K311" i="4" s="1"/>
  <c r="F311" i="4"/>
  <c r="F308" i="2"/>
  <c r="I308" i="2"/>
  <c r="K308" i="2" s="1"/>
  <c r="I310" i="1"/>
  <c r="K310" i="1" s="1"/>
  <c r="F310" i="1"/>
  <c r="G311" i="4" l="1"/>
  <c r="H311" i="4" s="1"/>
  <c r="J311" i="4" s="1"/>
  <c r="D312" i="4" s="1"/>
  <c r="G308" i="2"/>
  <c r="H308" i="2" s="1"/>
  <c r="J308" i="2" s="1"/>
  <c r="D309" i="2" s="1"/>
  <c r="G310" i="1"/>
  <c r="H310" i="1" s="1"/>
  <c r="J310" i="1" s="1"/>
  <c r="D311" i="1" s="1"/>
  <c r="I312" i="4" l="1"/>
  <c r="K312" i="4" s="1"/>
  <c r="F312" i="4"/>
  <c r="I309" i="2"/>
  <c r="K309" i="2" s="1"/>
  <c r="F309" i="2"/>
  <c r="I311" i="1"/>
  <c r="K311" i="1" s="1"/>
  <c r="F311" i="1"/>
  <c r="G312" i="4" l="1"/>
  <c r="H312" i="4" s="1"/>
  <c r="J312" i="4" s="1"/>
  <c r="D313" i="4" s="1"/>
  <c r="G309" i="2"/>
  <c r="H309" i="2" s="1"/>
  <c r="J309" i="2" s="1"/>
  <c r="D310" i="2" s="1"/>
  <c r="G311" i="1"/>
  <c r="H311" i="1" s="1"/>
  <c r="J311" i="1" s="1"/>
  <c r="D312" i="1" s="1"/>
  <c r="I313" i="4" l="1"/>
  <c r="K313" i="4" s="1"/>
  <c r="F313" i="4"/>
  <c r="I310" i="2"/>
  <c r="K310" i="2" s="1"/>
  <c r="F310" i="2"/>
  <c r="I312" i="1"/>
  <c r="K312" i="1" s="1"/>
  <c r="F312" i="1"/>
  <c r="G313" i="4" l="1"/>
  <c r="H313" i="4" s="1"/>
  <c r="J313" i="4" s="1"/>
  <c r="D314" i="4" s="1"/>
  <c r="G310" i="2"/>
  <c r="H310" i="2" s="1"/>
  <c r="J310" i="2" s="1"/>
  <c r="D311" i="2" s="1"/>
  <c r="G312" i="1"/>
  <c r="H312" i="1" s="1"/>
  <c r="J312" i="1" s="1"/>
  <c r="D313" i="1" s="1"/>
  <c r="F314" i="4" l="1"/>
  <c r="I314" i="4"/>
  <c r="K314" i="4" s="1"/>
  <c r="I311" i="2"/>
  <c r="K311" i="2" s="1"/>
  <c r="F311" i="2"/>
  <c r="I313" i="1"/>
  <c r="K313" i="1" s="1"/>
  <c r="F313" i="1"/>
  <c r="G314" i="4" l="1"/>
  <c r="H314" i="4" s="1"/>
  <c r="J314" i="4" s="1"/>
  <c r="D315" i="4" s="1"/>
  <c r="G311" i="2"/>
  <c r="H311" i="2" s="1"/>
  <c r="J311" i="2" s="1"/>
  <c r="D312" i="2" s="1"/>
  <c r="G313" i="1"/>
  <c r="H313" i="1" s="1"/>
  <c r="J313" i="1" s="1"/>
  <c r="D314" i="1" s="1"/>
  <c r="I315" i="4" l="1"/>
  <c r="K315" i="4" s="1"/>
  <c r="F315" i="4"/>
  <c r="I312" i="2"/>
  <c r="K312" i="2" s="1"/>
  <c r="F312" i="2"/>
  <c r="I314" i="1"/>
  <c r="K314" i="1" s="1"/>
  <c r="F314" i="1"/>
  <c r="G315" i="4" l="1"/>
  <c r="H315" i="4" s="1"/>
  <c r="J315" i="4" s="1"/>
  <c r="D316" i="4" s="1"/>
  <c r="G312" i="2"/>
  <c r="H312" i="2" s="1"/>
  <c r="J312" i="2" s="1"/>
  <c r="D313" i="2" s="1"/>
  <c r="G314" i="1"/>
  <c r="H314" i="1" s="1"/>
  <c r="J314" i="1" s="1"/>
  <c r="D315" i="1" s="1"/>
  <c r="F316" i="4" l="1"/>
  <c r="I316" i="4"/>
  <c r="K316" i="4" s="1"/>
  <c r="F313" i="2"/>
  <c r="I313" i="2"/>
  <c r="K313" i="2" s="1"/>
  <c r="I315" i="1"/>
  <c r="K315" i="1" s="1"/>
  <c r="F315" i="1"/>
  <c r="G316" i="4" l="1"/>
  <c r="H316" i="4" s="1"/>
  <c r="J316" i="4" s="1"/>
  <c r="D317" i="4" s="1"/>
  <c r="G313" i="2"/>
  <c r="H313" i="2" s="1"/>
  <c r="J313" i="2" s="1"/>
  <c r="D314" i="2" s="1"/>
  <c r="G315" i="1"/>
  <c r="H315" i="1" s="1"/>
  <c r="J315" i="1" s="1"/>
  <c r="D316" i="1" s="1"/>
  <c r="I317" i="4" l="1"/>
  <c r="K317" i="4" s="1"/>
  <c r="F317" i="4"/>
  <c r="I314" i="2"/>
  <c r="K314" i="2" s="1"/>
  <c r="F314" i="2"/>
  <c r="I316" i="1"/>
  <c r="K316" i="1" s="1"/>
  <c r="F316" i="1"/>
  <c r="G317" i="4" l="1"/>
  <c r="H317" i="4" s="1"/>
  <c r="J317" i="4" s="1"/>
  <c r="D318" i="4" s="1"/>
  <c r="G314" i="2"/>
  <c r="H314" i="2" s="1"/>
  <c r="J314" i="2" s="1"/>
  <c r="D315" i="2" s="1"/>
  <c r="G316" i="1"/>
  <c r="H316" i="1" s="1"/>
  <c r="J316" i="1" s="1"/>
  <c r="D317" i="1" s="1"/>
  <c r="F318" i="4" l="1"/>
  <c r="I318" i="4"/>
  <c r="K318" i="4" s="1"/>
  <c r="I315" i="2"/>
  <c r="K315" i="2" s="1"/>
  <c r="F315" i="2"/>
  <c r="I317" i="1"/>
  <c r="K317" i="1" s="1"/>
  <c r="F317" i="1"/>
  <c r="G318" i="4" l="1"/>
  <c r="H318" i="4" s="1"/>
  <c r="J318" i="4" s="1"/>
  <c r="D319" i="4" s="1"/>
  <c r="G315" i="2"/>
  <c r="H315" i="2" s="1"/>
  <c r="J315" i="2" s="1"/>
  <c r="D316" i="2" s="1"/>
  <c r="G317" i="1"/>
  <c r="H317" i="1" s="1"/>
  <c r="J317" i="1" s="1"/>
  <c r="D318" i="1" s="1"/>
  <c r="I319" i="4" l="1"/>
  <c r="K319" i="4" s="1"/>
  <c r="F319" i="4"/>
  <c r="I316" i="2"/>
  <c r="K316" i="2" s="1"/>
  <c r="F316" i="2"/>
  <c r="I318" i="1"/>
  <c r="K318" i="1" s="1"/>
  <c r="F318" i="1"/>
  <c r="G319" i="4" l="1"/>
  <c r="H319" i="4" s="1"/>
  <c r="J319" i="4" s="1"/>
  <c r="D320" i="4" s="1"/>
  <c r="G316" i="2"/>
  <c r="H316" i="2" s="1"/>
  <c r="J316" i="2" s="1"/>
  <c r="D317" i="2" s="1"/>
  <c r="G318" i="1"/>
  <c r="H318" i="1" s="1"/>
  <c r="J318" i="1" s="1"/>
  <c r="D319" i="1" s="1"/>
  <c r="I320" i="4" l="1"/>
  <c r="K320" i="4" s="1"/>
  <c r="F320" i="4"/>
  <c r="I317" i="2"/>
  <c r="K317" i="2" s="1"/>
  <c r="F317" i="2"/>
  <c r="I319" i="1"/>
  <c r="K319" i="1" s="1"/>
  <c r="F319" i="1"/>
  <c r="G320" i="4" l="1"/>
  <c r="H320" i="4" s="1"/>
  <c r="J320" i="4" s="1"/>
  <c r="D321" i="4" s="1"/>
  <c r="G317" i="2"/>
  <c r="H317" i="2" s="1"/>
  <c r="J317" i="2" s="1"/>
  <c r="D318" i="2" s="1"/>
  <c r="G319" i="1"/>
  <c r="H319" i="1" s="1"/>
  <c r="J319" i="1" s="1"/>
  <c r="D320" i="1" s="1"/>
  <c r="I321" i="4" l="1"/>
  <c r="K321" i="4" s="1"/>
  <c r="F321" i="4"/>
  <c r="F318" i="2"/>
  <c r="I318" i="2"/>
  <c r="K318" i="2" s="1"/>
  <c r="I320" i="1"/>
  <c r="K320" i="1" s="1"/>
  <c r="F320" i="1"/>
  <c r="G321" i="4" l="1"/>
  <c r="H321" i="4" s="1"/>
  <c r="J321" i="4" s="1"/>
  <c r="D322" i="4" s="1"/>
  <c r="G318" i="2"/>
  <c r="H318" i="2" s="1"/>
  <c r="J318" i="2" s="1"/>
  <c r="D319" i="2" s="1"/>
  <c r="G320" i="1"/>
  <c r="H320" i="1" s="1"/>
  <c r="J320" i="1" s="1"/>
  <c r="D321" i="1" s="1"/>
  <c r="I322" i="4" l="1"/>
  <c r="K322" i="4" s="1"/>
  <c r="F322" i="4"/>
  <c r="I319" i="2"/>
  <c r="K319" i="2" s="1"/>
  <c r="F319" i="2"/>
  <c r="I321" i="1"/>
  <c r="K321" i="1" s="1"/>
  <c r="F321" i="1"/>
  <c r="G322" i="4" l="1"/>
  <c r="H322" i="4" s="1"/>
  <c r="J322" i="4" s="1"/>
  <c r="D323" i="4" s="1"/>
  <c r="G319" i="2"/>
  <c r="H319" i="2" s="1"/>
  <c r="J319" i="2" s="1"/>
  <c r="D320" i="2" s="1"/>
  <c r="G321" i="1"/>
  <c r="H321" i="1" s="1"/>
  <c r="J321" i="1" s="1"/>
  <c r="D322" i="1" s="1"/>
  <c r="I323" i="4" l="1"/>
  <c r="K323" i="4" s="1"/>
  <c r="F323" i="4"/>
  <c r="I320" i="2"/>
  <c r="K320" i="2" s="1"/>
  <c r="F320" i="2"/>
  <c r="I322" i="1"/>
  <c r="K322" i="1" s="1"/>
  <c r="F322" i="1"/>
  <c r="G323" i="4" l="1"/>
  <c r="H323" i="4" s="1"/>
  <c r="J323" i="4" s="1"/>
  <c r="D324" i="4" s="1"/>
  <c r="G320" i="2"/>
  <c r="H320" i="2" s="1"/>
  <c r="J320" i="2" s="1"/>
  <c r="D321" i="2" s="1"/>
  <c r="G322" i="1"/>
  <c r="H322" i="1" s="1"/>
  <c r="J322" i="1" s="1"/>
  <c r="D323" i="1" s="1"/>
  <c r="I324" i="4" l="1"/>
  <c r="K324" i="4" s="1"/>
  <c r="F324" i="4"/>
  <c r="I321" i="2"/>
  <c r="K321" i="2" s="1"/>
  <c r="F321" i="2"/>
  <c r="I323" i="1"/>
  <c r="K323" i="1" s="1"/>
  <c r="F323" i="1"/>
  <c r="G324" i="4" l="1"/>
  <c r="H324" i="4" s="1"/>
  <c r="J324" i="4" s="1"/>
  <c r="D325" i="4" s="1"/>
  <c r="G321" i="2"/>
  <c r="H321" i="2" s="1"/>
  <c r="J321" i="2" s="1"/>
  <c r="D322" i="2" s="1"/>
  <c r="G323" i="1"/>
  <c r="H323" i="1" s="1"/>
  <c r="J323" i="1" s="1"/>
  <c r="D324" i="1" s="1"/>
  <c r="F325" i="4" l="1"/>
  <c r="I325" i="4"/>
  <c r="K325" i="4" s="1"/>
  <c r="I322" i="2"/>
  <c r="K322" i="2" s="1"/>
  <c r="F322" i="2"/>
  <c r="I324" i="1"/>
  <c r="K324" i="1" s="1"/>
  <c r="F324" i="1"/>
  <c r="G325" i="4" l="1"/>
  <c r="H325" i="4" s="1"/>
  <c r="J325" i="4" s="1"/>
  <c r="D326" i="4" s="1"/>
  <c r="G322" i="2"/>
  <c r="H322" i="2" s="1"/>
  <c r="J322" i="2" s="1"/>
  <c r="D323" i="2" s="1"/>
  <c r="G324" i="1"/>
  <c r="H324" i="1" s="1"/>
  <c r="J324" i="1" s="1"/>
  <c r="D325" i="1" s="1"/>
  <c r="I326" i="4" l="1"/>
  <c r="K326" i="4" s="1"/>
  <c r="F326" i="4"/>
  <c r="I323" i="2"/>
  <c r="K323" i="2" s="1"/>
  <c r="F323" i="2"/>
  <c r="I325" i="1"/>
  <c r="K325" i="1" s="1"/>
  <c r="F325" i="1"/>
  <c r="G326" i="4" l="1"/>
  <c r="H326" i="4" s="1"/>
  <c r="J326" i="4" s="1"/>
  <c r="D327" i="4" s="1"/>
  <c r="G323" i="2"/>
  <c r="H323" i="2" s="1"/>
  <c r="J323" i="2" s="1"/>
  <c r="D324" i="2" s="1"/>
  <c r="G325" i="1"/>
  <c r="H325" i="1" s="1"/>
  <c r="J325" i="1" s="1"/>
  <c r="D326" i="1" s="1"/>
  <c r="F327" i="4" l="1"/>
  <c r="I327" i="4"/>
  <c r="K327" i="4" s="1"/>
  <c r="I324" i="2"/>
  <c r="K324" i="2" s="1"/>
  <c r="F324" i="2"/>
  <c r="I326" i="1"/>
  <c r="K326" i="1" s="1"/>
  <c r="F326" i="1"/>
  <c r="G327" i="4" l="1"/>
  <c r="H327" i="4" s="1"/>
  <c r="J327" i="4" s="1"/>
  <c r="D328" i="4" s="1"/>
  <c r="G324" i="2"/>
  <c r="H324" i="2" s="1"/>
  <c r="J324" i="2" s="1"/>
  <c r="D325" i="2" s="1"/>
  <c r="G326" i="1"/>
  <c r="H326" i="1" s="1"/>
  <c r="J326" i="1" s="1"/>
  <c r="D327" i="1" s="1"/>
  <c r="I328" i="4" l="1"/>
  <c r="K328" i="4" s="1"/>
  <c r="F328" i="4"/>
  <c r="I325" i="2"/>
  <c r="K325" i="2" s="1"/>
  <c r="F325" i="2"/>
  <c r="I327" i="1"/>
  <c r="K327" i="1" s="1"/>
  <c r="F327" i="1"/>
  <c r="G328" i="4" l="1"/>
  <c r="H328" i="4" s="1"/>
  <c r="J328" i="4" s="1"/>
  <c r="D329" i="4" s="1"/>
  <c r="G325" i="2"/>
  <c r="H325" i="2" s="1"/>
  <c r="J325" i="2" s="1"/>
  <c r="D326" i="2" s="1"/>
  <c r="G327" i="1"/>
  <c r="H327" i="1" s="1"/>
  <c r="J327" i="1" s="1"/>
  <c r="D328" i="1" s="1"/>
  <c r="I329" i="4" l="1"/>
  <c r="K329" i="4" s="1"/>
  <c r="F329" i="4"/>
  <c r="I326" i="2"/>
  <c r="K326" i="2" s="1"/>
  <c r="F326" i="2"/>
  <c r="I328" i="1"/>
  <c r="K328" i="1" s="1"/>
  <c r="F328" i="1"/>
  <c r="G329" i="4" l="1"/>
  <c r="H329" i="4" s="1"/>
  <c r="J329" i="4" s="1"/>
  <c r="D330" i="4" s="1"/>
  <c r="G326" i="2"/>
  <c r="H326" i="2" s="1"/>
  <c r="J326" i="2" s="1"/>
  <c r="D327" i="2" s="1"/>
  <c r="G328" i="1"/>
  <c r="H328" i="1" s="1"/>
  <c r="J328" i="1" s="1"/>
  <c r="D329" i="1" s="1"/>
  <c r="I330" i="4" l="1"/>
  <c r="K330" i="4" s="1"/>
  <c r="F330" i="4"/>
  <c r="I327" i="2"/>
  <c r="K327" i="2" s="1"/>
  <c r="F327" i="2"/>
  <c r="I329" i="1"/>
  <c r="K329" i="1" s="1"/>
  <c r="F329" i="1"/>
  <c r="G330" i="4" l="1"/>
  <c r="H330" i="4" s="1"/>
  <c r="J330" i="4" s="1"/>
  <c r="D331" i="4" s="1"/>
  <c r="G327" i="2"/>
  <c r="H327" i="2" s="1"/>
  <c r="J327" i="2" s="1"/>
  <c r="D328" i="2" s="1"/>
  <c r="G329" i="1"/>
  <c r="H329" i="1" s="1"/>
  <c r="J329" i="1" s="1"/>
  <c r="D330" i="1" s="1"/>
  <c r="F331" i="4" l="1"/>
  <c r="I331" i="4"/>
  <c r="K331" i="4" s="1"/>
  <c r="I328" i="2"/>
  <c r="K328" i="2" s="1"/>
  <c r="F328" i="2"/>
  <c r="I330" i="1"/>
  <c r="K330" i="1" s="1"/>
  <c r="F330" i="1"/>
  <c r="G331" i="4" l="1"/>
  <c r="H331" i="4" s="1"/>
  <c r="J331" i="4" s="1"/>
  <c r="D332" i="4" s="1"/>
  <c r="G328" i="2"/>
  <c r="H328" i="2" s="1"/>
  <c r="J328" i="2" s="1"/>
  <c r="D329" i="2" s="1"/>
  <c r="G330" i="1"/>
  <c r="H330" i="1" s="1"/>
  <c r="J330" i="1" s="1"/>
  <c r="D331" i="1" s="1"/>
  <c r="F332" i="4" l="1"/>
  <c r="I332" i="4"/>
  <c r="K332" i="4" s="1"/>
  <c r="I329" i="2"/>
  <c r="K329" i="2" s="1"/>
  <c r="F329" i="2"/>
  <c r="F331" i="1"/>
  <c r="I331" i="1"/>
  <c r="K331" i="1" s="1"/>
  <c r="G332" i="4" l="1"/>
  <c r="H332" i="4" s="1"/>
  <c r="J332" i="4" s="1"/>
  <c r="D333" i="4" s="1"/>
  <c r="G329" i="2"/>
  <c r="H329" i="2" s="1"/>
  <c r="J329" i="2" s="1"/>
  <c r="D330" i="2" s="1"/>
  <c r="G331" i="1"/>
  <c r="H331" i="1" s="1"/>
  <c r="J331" i="1" s="1"/>
  <c r="D332" i="1" s="1"/>
  <c r="F333" i="4" l="1"/>
  <c r="I333" i="4"/>
  <c r="K333" i="4" s="1"/>
  <c r="F330" i="2"/>
  <c r="I330" i="2"/>
  <c r="K330" i="2" s="1"/>
  <c r="F332" i="1"/>
  <c r="I332" i="1"/>
  <c r="K332" i="1" s="1"/>
  <c r="G333" i="4" l="1"/>
  <c r="H333" i="4" s="1"/>
  <c r="J333" i="4" s="1"/>
  <c r="D334" i="4" s="1"/>
  <c r="G330" i="2"/>
  <c r="H330" i="2" s="1"/>
  <c r="J330" i="2" s="1"/>
  <c r="D331" i="2" s="1"/>
  <c r="G332" i="1"/>
  <c r="H332" i="1" s="1"/>
  <c r="J332" i="1" s="1"/>
  <c r="D333" i="1" s="1"/>
  <c r="I334" i="4" l="1"/>
  <c r="K334" i="4" s="1"/>
  <c r="F334" i="4"/>
  <c r="I331" i="2"/>
  <c r="K331" i="2" s="1"/>
  <c r="F331" i="2"/>
  <c r="I333" i="1"/>
  <c r="K333" i="1" s="1"/>
  <c r="F333" i="1"/>
  <c r="G334" i="4" l="1"/>
  <c r="H334" i="4" s="1"/>
  <c r="J334" i="4" s="1"/>
  <c r="D335" i="4" s="1"/>
  <c r="G331" i="2"/>
  <c r="H331" i="2" s="1"/>
  <c r="J331" i="2" s="1"/>
  <c r="D332" i="2" s="1"/>
  <c r="G333" i="1"/>
  <c r="H333" i="1" s="1"/>
  <c r="J333" i="1" s="1"/>
  <c r="D334" i="1" s="1"/>
  <c r="F335" i="4" l="1"/>
  <c r="I335" i="4"/>
  <c r="K335" i="4" s="1"/>
  <c r="I332" i="2"/>
  <c r="K332" i="2" s="1"/>
  <c r="F332" i="2"/>
  <c r="I334" i="1"/>
  <c r="K334" i="1" s="1"/>
  <c r="F334" i="1"/>
  <c r="G335" i="4" l="1"/>
  <c r="H335" i="4" s="1"/>
  <c r="J335" i="4" s="1"/>
  <c r="D336" i="4" s="1"/>
  <c r="G332" i="2"/>
  <c r="H332" i="2" s="1"/>
  <c r="J332" i="2" s="1"/>
  <c r="D333" i="2" s="1"/>
  <c r="G334" i="1"/>
  <c r="H334" i="1" s="1"/>
  <c r="J334" i="1" s="1"/>
  <c r="D335" i="1" s="1"/>
  <c r="I336" i="4" l="1"/>
  <c r="K336" i="4" s="1"/>
  <c r="F336" i="4"/>
  <c r="I333" i="2"/>
  <c r="K333" i="2" s="1"/>
  <c r="F333" i="2"/>
  <c r="F335" i="1"/>
  <c r="I335" i="1"/>
  <c r="K335" i="1" s="1"/>
  <c r="G336" i="4" l="1"/>
  <c r="H336" i="4" s="1"/>
  <c r="J336" i="4" s="1"/>
  <c r="D337" i="4" s="1"/>
  <c r="G333" i="2"/>
  <c r="H333" i="2" s="1"/>
  <c r="J333" i="2" s="1"/>
  <c r="D334" i="2" s="1"/>
  <c r="G335" i="1"/>
  <c r="H335" i="1" s="1"/>
  <c r="J335" i="1" s="1"/>
  <c r="D336" i="1" s="1"/>
  <c r="I337" i="4" l="1"/>
  <c r="K337" i="4" s="1"/>
  <c r="F337" i="4"/>
  <c r="I334" i="2"/>
  <c r="K334" i="2" s="1"/>
  <c r="F334" i="2"/>
  <c r="I336" i="1"/>
  <c r="K336" i="1" s="1"/>
  <c r="F336" i="1"/>
  <c r="G337" i="4" l="1"/>
  <c r="H337" i="4" s="1"/>
  <c r="J337" i="4" s="1"/>
  <c r="D338" i="4" s="1"/>
  <c r="G334" i="2"/>
  <c r="H334" i="2" s="1"/>
  <c r="J334" i="2" s="1"/>
  <c r="D335" i="2" s="1"/>
  <c r="G336" i="1"/>
  <c r="H336" i="1" s="1"/>
  <c r="J336" i="1" s="1"/>
  <c r="D337" i="1" s="1"/>
  <c r="I338" i="4" l="1"/>
  <c r="K338" i="4" s="1"/>
  <c r="F338" i="4"/>
  <c r="I335" i="2"/>
  <c r="K335" i="2" s="1"/>
  <c r="F335" i="2"/>
  <c r="F337" i="1"/>
  <c r="I337" i="1"/>
  <c r="K337" i="1" s="1"/>
  <c r="G338" i="4" l="1"/>
  <c r="H338" i="4" s="1"/>
  <c r="J338" i="4" s="1"/>
  <c r="D339" i="4" s="1"/>
  <c r="G335" i="2"/>
  <c r="H335" i="2" s="1"/>
  <c r="J335" i="2" s="1"/>
  <c r="D336" i="2" s="1"/>
  <c r="G337" i="1"/>
  <c r="H337" i="1" s="1"/>
  <c r="J337" i="1" s="1"/>
  <c r="D338" i="1" s="1"/>
  <c r="F339" i="4" l="1"/>
  <c r="I339" i="4"/>
  <c r="K339" i="4" s="1"/>
  <c r="I336" i="2"/>
  <c r="K336" i="2" s="1"/>
  <c r="F336" i="2"/>
  <c r="I338" i="1"/>
  <c r="K338" i="1" s="1"/>
  <c r="F338" i="1"/>
  <c r="G339" i="4" l="1"/>
  <c r="H339" i="4" s="1"/>
  <c r="J339" i="4" s="1"/>
  <c r="D340" i="4" s="1"/>
  <c r="G336" i="2"/>
  <c r="H336" i="2" s="1"/>
  <c r="J336" i="2" s="1"/>
  <c r="D337" i="2" s="1"/>
  <c r="G338" i="1"/>
  <c r="H338" i="1" s="1"/>
  <c r="J338" i="1" s="1"/>
  <c r="D339" i="1" s="1"/>
  <c r="I340" i="4" l="1"/>
  <c r="K340" i="4" s="1"/>
  <c r="F340" i="4"/>
  <c r="I337" i="2"/>
  <c r="K337" i="2" s="1"/>
  <c r="F337" i="2"/>
  <c r="I339" i="1"/>
  <c r="K339" i="1" s="1"/>
  <c r="F339" i="1"/>
  <c r="G340" i="4" l="1"/>
  <c r="H340" i="4" s="1"/>
  <c r="J340" i="4" s="1"/>
  <c r="D341" i="4" s="1"/>
  <c r="G337" i="2"/>
  <c r="H337" i="2" s="1"/>
  <c r="J337" i="2" s="1"/>
  <c r="D338" i="2" s="1"/>
  <c r="G339" i="1"/>
  <c r="H339" i="1" s="1"/>
  <c r="J339" i="1" s="1"/>
  <c r="D340" i="1" s="1"/>
  <c r="I341" i="4" l="1"/>
  <c r="K341" i="4" s="1"/>
  <c r="F341" i="4"/>
  <c r="F338" i="2"/>
  <c r="I338" i="2"/>
  <c r="K338" i="2" s="1"/>
  <c r="I340" i="1"/>
  <c r="K340" i="1" s="1"/>
  <c r="F340" i="1"/>
  <c r="G341" i="4" l="1"/>
  <c r="H341" i="4" s="1"/>
  <c r="J341" i="4" s="1"/>
  <c r="D342" i="4" s="1"/>
  <c r="G338" i="2"/>
  <c r="H338" i="2" s="1"/>
  <c r="J338" i="2" s="1"/>
  <c r="D339" i="2" s="1"/>
  <c r="G340" i="1"/>
  <c r="H340" i="1" s="1"/>
  <c r="J340" i="1" s="1"/>
  <c r="D341" i="1" s="1"/>
  <c r="F342" i="4" l="1"/>
  <c r="I342" i="4"/>
  <c r="K342" i="4" s="1"/>
  <c r="I339" i="2"/>
  <c r="K339" i="2" s="1"/>
  <c r="F339" i="2"/>
  <c r="I341" i="1"/>
  <c r="K341" i="1" s="1"/>
  <c r="F341" i="1"/>
  <c r="G342" i="4" l="1"/>
  <c r="H342" i="4" s="1"/>
  <c r="J342" i="4" s="1"/>
  <c r="D343" i="4" s="1"/>
  <c r="G339" i="2"/>
  <c r="H339" i="2" s="1"/>
  <c r="J339" i="2" s="1"/>
  <c r="D340" i="2" s="1"/>
  <c r="G341" i="1"/>
  <c r="H341" i="1" s="1"/>
  <c r="J341" i="1" s="1"/>
  <c r="D342" i="1" s="1"/>
  <c r="I343" i="4" l="1"/>
  <c r="K343" i="4" s="1"/>
  <c r="F343" i="4"/>
  <c r="I340" i="2"/>
  <c r="K340" i="2" s="1"/>
  <c r="F340" i="2"/>
  <c r="I342" i="1"/>
  <c r="K342" i="1" s="1"/>
  <c r="F342" i="1"/>
  <c r="G343" i="4" l="1"/>
  <c r="H343" i="4" s="1"/>
  <c r="J343" i="4" s="1"/>
  <c r="D344" i="4" s="1"/>
  <c r="G340" i="2"/>
  <c r="H340" i="2" s="1"/>
  <c r="J340" i="2" s="1"/>
  <c r="D341" i="2" s="1"/>
  <c r="G342" i="1"/>
  <c r="H342" i="1" s="1"/>
  <c r="J342" i="1" s="1"/>
  <c r="D343" i="1" s="1"/>
  <c r="I344" i="4" l="1"/>
  <c r="K344" i="4" s="1"/>
  <c r="F344" i="4"/>
  <c r="I341" i="2"/>
  <c r="K341" i="2" s="1"/>
  <c r="F341" i="2"/>
  <c r="F343" i="1"/>
  <c r="I343" i="1"/>
  <c r="K343" i="1" s="1"/>
  <c r="G344" i="4" l="1"/>
  <c r="H344" i="4" s="1"/>
  <c r="J344" i="4" s="1"/>
  <c r="D345" i="4" s="1"/>
  <c r="G341" i="2"/>
  <c r="H341" i="2" s="1"/>
  <c r="J341" i="2" s="1"/>
  <c r="D342" i="2" s="1"/>
  <c r="G343" i="1"/>
  <c r="H343" i="1" s="1"/>
  <c r="J343" i="1" s="1"/>
  <c r="D344" i="1" s="1"/>
  <c r="F345" i="4" l="1"/>
  <c r="I345" i="4"/>
  <c r="K345" i="4" s="1"/>
  <c r="I342" i="2"/>
  <c r="K342" i="2" s="1"/>
  <c r="F342" i="2"/>
  <c r="I344" i="1"/>
  <c r="K344" i="1" s="1"/>
  <c r="F344" i="1"/>
  <c r="G345" i="4" l="1"/>
  <c r="H345" i="4" s="1"/>
  <c r="J345" i="4" s="1"/>
  <c r="D346" i="4" s="1"/>
  <c r="G342" i="2"/>
  <c r="H342" i="2" s="1"/>
  <c r="J342" i="2" s="1"/>
  <c r="D343" i="2" s="1"/>
  <c r="G344" i="1"/>
  <c r="H344" i="1" s="1"/>
  <c r="J344" i="1" s="1"/>
  <c r="D345" i="1" s="1"/>
  <c r="I346" i="4" l="1"/>
  <c r="K346" i="4" s="1"/>
  <c r="F346" i="4"/>
  <c r="F343" i="2"/>
  <c r="I343" i="2"/>
  <c r="K343" i="2" s="1"/>
  <c r="I345" i="1"/>
  <c r="K345" i="1" s="1"/>
  <c r="F345" i="1"/>
  <c r="G346" i="4" l="1"/>
  <c r="H346" i="4" s="1"/>
  <c r="J346" i="4" s="1"/>
  <c r="D347" i="4" s="1"/>
  <c r="G343" i="2"/>
  <c r="H343" i="2" s="1"/>
  <c r="J343" i="2" s="1"/>
  <c r="D344" i="2" s="1"/>
  <c r="G345" i="1"/>
  <c r="H345" i="1" s="1"/>
  <c r="J345" i="1" s="1"/>
  <c r="D346" i="1" s="1"/>
  <c r="F347" i="4" l="1"/>
  <c r="I347" i="4"/>
  <c r="K347" i="4" s="1"/>
  <c r="I344" i="2"/>
  <c r="K344" i="2" s="1"/>
  <c r="F344" i="2"/>
  <c r="F346" i="1"/>
  <c r="I346" i="1"/>
  <c r="K346" i="1" s="1"/>
  <c r="G347" i="4" l="1"/>
  <c r="H347" i="4" s="1"/>
  <c r="J347" i="4" s="1"/>
  <c r="D348" i="4" s="1"/>
  <c r="G344" i="2"/>
  <c r="H344" i="2" s="1"/>
  <c r="J344" i="2" s="1"/>
  <c r="D345" i="2" s="1"/>
  <c r="G346" i="1"/>
  <c r="H346" i="1" s="1"/>
  <c r="J346" i="1" s="1"/>
  <c r="D347" i="1" s="1"/>
  <c r="F348" i="4" l="1"/>
  <c r="I348" i="4"/>
  <c r="K348" i="4" s="1"/>
  <c r="I345" i="2"/>
  <c r="K345" i="2" s="1"/>
  <c r="F345" i="2"/>
  <c r="I347" i="1"/>
  <c r="K347" i="1" s="1"/>
  <c r="F347" i="1"/>
  <c r="G348" i="4" l="1"/>
  <c r="H348" i="4" s="1"/>
  <c r="J348" i="4" s="1"/>
  <c r="D349" i="4" s="1"/>
  <c r="G345" i="2"/>
  <c r="H345" i="2" s="1"/>
  <c r="J345" i="2" s="1"/>
  <c r="D346" i="2" s="1"/>
  <c r="G347" i="1"/>
  <c r="H347" i="1" s="1"/>
  <c r="J347" i="1" s="1"/>
  <c r="D348" i="1" s="1"/>
  <c r="F349" i="4" l="1"/>
  <c r="I349" i="4"/>
  <c r="K349" i="4" s="1"/>
  <c r="F346" i="2"/>
  <c r="I346" i="2"/>
  <c r="K346" i="2" s="1"/>
  <c r="I348" i="1"/>
  <c r="K348" i="1" s="1"/>
  <c r="F348" i="1"/>
  <c r="G349" i="4" l="1"/>
  <c r="H349" i="4" s="1"/>
  <c r="J349" i="4" s="1"/>
  <c r="D350" i="4" s="1"/>
  <c r="G346" i="2"/>
  <c r="H346" i="2" s="1"/>
  <c r="J346" i="2" s="1"/>
  <c r="D347" i="2" s="1"/>
  <c r="G348" i="1"/>
  <c r="H348" i="1" s="1"/>
  <c r="J348" i="1" s="1"/>
  <c r="D349" i="1" s="1"/>
  <c r="I350" i="4" l="1"/>
  <c r="K350" i="4" s="1"/>
  <c r="F350" i="4"/>
  <c r="I347" i="2"/>
  <c r="K347" i="2" s="1"/>
  <c r="F347" i="2"/>
  <c r="I349" i="1"/>
  <c r="K349" i="1" s="1"/>
  <c r="F349" i="1"/>
  <c r="G350" i="4" l="1"/>
  <c r="H350" i="4" s="1"/>
  <c r="J350" i="4" s="1"/>
  <c r="D351" i="4" s="1"/>
  <c r="G347" i="2"/>
  <c r="H347" i="2" s="1"/>
  <c r="J347" i="2" s="1"/>
  <c r="D348" i="2" s="1"/>
  <c r="G349" i="1"/>
  <c r="H349" i="1" s="1"/>
  <c r="J349" i="1" s="1"/>
  <c r="D350" i="1" s="1"/>
  <c r="F351" i="4" l="1"/>
  <c r="I351" i="4"/>
  <c r="K351" i="4" s="1"/>
  <c r="I348" i="2"/>
  <c r="K348" i="2" s="1"/>
  <c r="F348" i="2"/>
  <c r="I350" i="1"/>
  <c r="K350" i="1" s="1"/>
  <c r="F350" i="1"/>
  <c r="G351" i="4" l="1"/>
  <c r="H351" i="4" s="1"/>
  <c r="J351" i="4" s="1"/>
  <c r="D352" i="4" s="1"/>
  <c r="G348" i="2"/>
  <c r="H348" i="2" s="1"/>
  <c r="J348" i="2" s="1"/>
  <c r="D349" i="2" s="1"/>
  <c r="G350" i="1"/>
  <c r="H350" i="1" s="1"/>
  <c r="J350" i="1" s="1"/>
  <c r="D351" i="1" s="1"/>
  <c r="I352" i="4" l="1"/>
  <c r="K352" i="4" s="1"/>
  <c r="F352" i="4"/>
  <c r="F349" i="2"/>
  <c r="I349" i="2"/>
  <c r="K349" i="2" s="1"/>
  <c r="F351" i="1"/>
  <c r="I351" i="1"/>
  <c r="K351" i="1" s="1"/>
  <c r="G352" i="4" l="1"/>
  <c r="H352" i="4" s="1"/>
  <c r="J352" i="4" s="1"/>
  <c r="D353" i="4" s="1"/>
  <c r="G349" i="2"/>
  <c r="H349" i="2" s="1"/>
  <c r="J349" i="2" s="1"/>
  <c r="D350" i="2" s="1"/>
  <c r="G351" i="1"/>
  <c r="H351" i="1" s="1"/>
  <c r="J351" i="1" s="1"/>
  <c r="D352" i="1" s="1"/>
  <c r="F353" i="4" l="1"/>
  <c r="I353" i="4"/>
  <c r="K353" i="4" s="1"/>
  <c r="I350" i="2"/>
  <c r="K350" i="2" s="1"/>
  <c r="F350" i="2"/>
  <c r="I352" i="1"/>
  <c r="K352" i="1" s="1"/>
  <c r="F352" i="1"/>
  <c r="G353" i="4" l="1"/>
  <c r="H353" i="4" s="1"/>
  <c r="J353" i="4" s="1"/>
  <c r="D354" i="4" s="1"/>
  <c r="G350" i="2"/>
  <c r="H350" i="2" s="1"/>
  <c r="J350" i="2" s="1"/>
  <c r="D351" i="2" s="1"/>
  <c r="G352" i="1"/>
  <c r="H352" i="1" s="1"/>
  <c r="J352" i="1" s="1"/>
  <c r="D353" i="1" s="1"/>
  <c r="I354" i="4" l="1"/>
  <c r="K354" i="4" s="1"/>
  <c r="F354" i="4"/>
  <c r="F351" i="2"/>
  <c r="I351" i="2"/>
  <c r="K351" i="2" s="1"/>
  <c r="I353" i="1"/>
  <c r="K353" i="1" s="1"/>
  <c r="F353" i="1"/>
  <c r="G354" i="4" l="1"/>
  <c r="H354" i="4" s="1"/>
  <c r="J354" i="4" s="1"/>
  <c r="D355" i="4" s="1"/>
  <c r="G351" i="2"/>
  <c r="H351" i="2" s="1"/>
  <c r="J351" i="2" s="1"/>
  <c r="D352" i="2" s="1"/>
  <c r="G353" i="1"/>
  <c r="H353" i="1" s="1"/>
  <c r="J353" i="1" s="1"/>
  <c r="D354" i="1" s="1"/>
  <c r="I355" i="4" l="1"/>
  <c r="K355" i="4" s="1"/>
  <c r="F355" i="4"/>
  <c r="I352" i="2"/>
  <c r="K352" i="2" s="1"/>
  <c r="F352" i="2"/>
  <c r="F354" i="1"/>
  <c r="I354" i="1"/>
  <c r="K354" i="1" s="1"/>
  <c r="G355" i="4" l="1"/>
  <c r="H355" i="4" s="1"/>
  <c r="J355" i="4" s="1"/>
  <c r="D356" i="4" s="1"/>
  <c r="G352" i="2"/>
  <c r="H352" i="2" s="1"/>
  <c r="J352" i="2" s="1"/>
  <c r="D353" i="2" s="1"/>
  <c r="G354" i="1"/>
  <c r="H354" i="1" s="1"/>
  <c r="J354" i="1" s="1"/>
  <c r="D355" i="1" s="1"/>
  <c r="F356" i="4" l="1"/>
  <c r="I356" i="4"/>
  <c r="K356" i="4" s="1"/>
  <c r="I353" i="2"/>
  <c r="K353" i="2" s="1"/>
  <c r="F353" i="2"/>
  <c r="I355" i="1"/>
  <c r="K355" i="1" s="1"/>
  <c r="F355" i="1"/>
  <c r="G356" i="4" l="1"/>
  <c r="H356" i="4" s="1"/>
  <c r="J356" i="4" s="1"/>
  <c r="D357" i="4" s="1"/>
  <c r="G353" i="2"/>
  <c r="H353" i="2" s="1"/>
  <c r="J353" i="2" s="1"/>
  <c r="D354" i="2" s="1"/>
  <c r="G355" i="1"/>
  <c r="H355" i="1" s="1"/>
  <c r="J355" i="1" s="1"/>
  <c r="D356" i="1" s="1"/>
  <c r="I357" i="4" l="1"/>
  <c r="K357" i="4" s="1"/>
  <c r="F357" i="4"/>
  <c r="I354" i="2"/>
  <c r="K354" i="2" s="1"/>
  <c r="F354" i="2"/>
  <c r="I356" i="1"/>
  <c r="K356" i="1" s="1"/>
  <c r="F356" i="1"/>
  <c r="G357" i="4" l="1"/>
  <c r="H357" i="4" s="1"/>
  <c r="J357" i="4" s="1"/>
  <c r="D358" i="4" s="1"/>
  <c r="G354" i="2"/>
  <c r="H354" i="2" s="1"/>
  <c r="J354" i="2" s="1"/>
  <c r="D355" i="2" s="1"/>
  <c r="G356" i="1"/>
  <c r="H356" i="1" s="1"/>
  <c r="J356" i="1" s="1"/>
  <c r="D357" i="1" s="1"/>
  <c r="I358" i="4" l="1"/>
  <c r="K358" i="4" s="1"/>
  <c r="F358" i="4"/>
  <c r="F355" i="2"/>
  <c r="I355" i="2"/>
  <c r="K355" i="2" s="1"/>
  <c r="I357" i="1"/>
  <c r="K357" i="1" s="1"/>
  <c r="F357" i="1"/>
  <c r="G358" i="4" l="1"/>
  <c r="H358" i="4" s="1"/>
  <c r="J358" i="4" s="1"/>
  <c r="D359" i="4" s="1"/>
  <c r="G355" i="2"/>
  <c r="H355" i="2" s="1"/>
  <c r="J355" i="2" s="1"/>
  <c r="D356" i="2" s="1"/>
  <c r="G357" i="1"/>
  <c r="H357" i="1" s="1"/>
  <c r="J357" i="1" s="1"/>
  <c r="D358" i="1" s="1"/>
  <c r="F359" i="4" l="1"/>
  <c r="I359" i="4"/>
  <c r="K359" i="4" s="1"/>
  <c r="F356" i="2"/>
  <c r="I356" i="2"/>
  <c r="K356" i="2" s="1"/>
  <c r="I358" i="1"/>
  <c r="K358" i="1" s="1"/>
  <c r="F358" i="1"/>
  <c r="G359" i="4" l="1"/>
  <c r="H359" i="4" s="1"/>
  <c r="J359" i="4" s="1"/>
  <c r="D360" i="4" s="1"/>
  <c r="G356" i="2"/>
  <c r="H356" i="2" s="1"/>
  <c r="J356" i="2" s="1"/>
  <c r="D357" i="2" s="1"/>
  <c r="G358" i="1"/>
  <c r="H358" i="1" s="1"/>
  <c r="J358" i="1" s="1"/>
  <c r="D359" i="1" s="1"/>
  <c r="I360" i="4" l="1"/>
  <c r="K360" i="4" s="1"/>
  <c r="F360" i="4"/>
  <c r="F357" i="2"/>
  <c r="I357" i="2"/>
  <c r="K357" i="2" s="1"/>
  <c r="F359" i="1"/>
  <c r="I359" i="1"/>
  <c r="K359" i="1" s="1"/>
  <c r="G360" i="4" l="1"/>
  <c r="H360" i="4" s="1"/>
  <c r="J360" i="4" s="1"/>
  <c r="D361" i="4" s="1"/>
  <c r="G357" i="2"/>
  <c r="H357" i="2" s="1"/>
  <c r="J357" i="2" s="1"/>
  <c r="D358" i="2" s="1"/>
  <c r="G359" i="1"/>
  <c r="H359" i="1" s="1"/>
  <c r="J359" i="1" s="1"/>
  <c r="D360" i="1" s="1"/>
  <c r="I361" i="4" l="1"/>
  <c r="K361" i="4" s="1"/>
  <c r="F361" i="4"/>
  <c r="I358" i="2"/>
  <c r="K358" i="2" s="1"/>
  <c r="F358" i="2"/>
  <c r="I360" i="1"/>
  <c r="K360" i="1" s="1"/>
  <c r="F360" i="1"/>
  <c r="G361" i="4" l="1"/>
  <c r="H361" i="4" s="1"/>
  <c r="J361" i="4" s="1"/>
  <c r="D362" i="4" s="1"/>
  <c r="G358" i="2"/>
  <c r="H358" i="2" s="1"/>
  <c r="J358" i="2" s="1"/>
  <c r="D359" i="2" s="1"/>
  <c r="G360" i="1"/>
  <c r="H360" i="1" s="1"/>
  <c r="J360" i="1" s="1"/>
  <c r="D361" i="1" s="1"/>
  <c r="I362" i="4" l="1"/>
  <c r="K362" i="4" s="1"/>
  <c r="F362" i="4"/>
  <c r="F359" i="2"/>
  <c r="I359" i="2"/>
  <c r="K359" i="2" s="1"/>
  <c r="I361" i="1"/>
  <c r="K361" i="1" s="1"/>
  <c r="F361" i="1"/>
  <c r="G362" i="4" l="1"/>
  <c r="H362" i="4" s="1"/>
  <c r="J362" i="4" s="1"/>
  <c r="D363" i="4" s="1"/>
  <c r="G359" i="2"/>
  <c r="H359" i="2" s="1"/>
  <c r="J359" i="2" s="1"/>
  <c r="D360" i="2" s="1"/>
  <c r="G361" i="1"/>
  <c r="H361" i="1" s="1"/>
  <c r="J361" i="1" s="1"/>
  <c r="D362" i="1" s="1"/>
  <c r="I363" i="4" l="1"/>
  <c r="K363" i="4" s="1"/>
  <c r="F363" i="4"/>
  <c r="I360" i="2"/>
  <c r="K360" i="2" s="1"/>
  <c r="F360" i="2"/>
  <c r="I362" i="1"/>
  <c r="K362" i="1" s="1"/>
  <c r="F362" i="1"/>
  <c r="G363" i="4" l="1"/>
  <c r="H363" i="4" s="1"/>
  <c r="J363" i="4" s="1"/>
  <c r="D364" i="4" s="1"/>
  <c r="G360" i="2"/>
  <c r="H360" i="2" s="1"/>
  <c r="J360" i="2" s="1"/>
  <c r="D361" i="2" s="1"/>
  <c r="G362" i="1"/>
  <c r="H362" i="1" s="1"/>
  <c r="J362" i="1" s="1"/>
  <c r="D363" i="1" s="1"/>
  <c r="F364" i="4" l="1"/>
  <c r="I364" i="4"/>
  <c r="K364" i="4" s="1"/>
  <c r="F361" i="2"/>
  <c r="I361" i="2"/>
  <c r="K361" i="2" s="1"/>
  <c r="F363" i="1"/>
  <c r="I363" i="1"/>
  <c r="K363" i="1" s="1"/>
  <c r="G364" i="4" l="1"/>
  <c r="H364" i="4" s="1"/>
  <c r="J364" i="4" s="1"/>
  <c r="D365" i="4" s="1"/>
  <c r="G361" i="2"/>
  <c r="H361" i="2" s="1"/>
  <c r="J361" i="2" s="1"/>
  <c r="D362" i="2" s="1"/>
  <c r="G363" i="1"/>
  <c r="H363" i="1" s="1"/>
  <c r="J363" i="1" s="1"/>
  <c r="D364" i="1" s="1"/>
  <c r="I365" i="4" l="1"/>
  <c r="K365" i="4" s="1"/>
  <c r="F365" i="4"/>
  <c r="I362" i="2"/>
  <c r="K362" i="2" s="1"/>
  <c r="F362" i="2"/>
  <c r="I364" i="1"/>
  <c r="K364" i="1" s="1"/>
  <c r="F364" i="1"/>
  <c r="G365" i="4" l="1"/>
  <c r="H365" i="4" s="1"/>
  <c r="J365" i="4" s="1"/>
  <c r="D366" i="4" s="1"/>
  <c r="G362" i="2"/>
  <c r="H362" i="2" s="1"/>
  <c r="J362" i="2" s="1"/>
  <c r="D363" i="2" s="1"/>
  <c r="G364" i="1"/>
  <c r="H364" i="1" s="1"/>
  <c r="J364" i="1" s="1"/>
  <c r="D365" i="1" s="1"/>
  <c r="I366" i="4" l="1"/>
  <c r="K366" i="4" s="1"/>
  <c r="F366" i="4"/>
  <c r="I363" i="2"/>
  <c r="K363" i="2" s="1"/>
  <c r="F363" i="2"/>
  <c r="I365" i="1"/>
  <c r="K365" i="1" s="1"/>
  <c r="F365" i="1"/>
  <c r="G366" i="4" l="1"/>
  <c r="H366" i="4" s="1"/>
  <c r="J366" i="4" s="1"/>
  <c r="D367" i="4" s="1"/>
  <c r="G363" i="2"/>
  <c r="H363" i="2" s="1"/>
  <c r="J363" i="2" s="1"/>
  <c r="D364" i="2" s="1"/>
  <c r="G365" i="1"/>
  <c r="H365" i="1" s="1"/>
  <c r="J365" i="1" s="1"/>
  <c r="D366" i="1" s="1"/>
  <c r="I367" i="4" l="1"/>
  <c r="K367" i="4" s="1"/>
  <c r="F367" i="4"/>
  <c r="F364" i="2"/>
  <c r="I364" i="2"/>
  <c r="K364" i="2" s="1"/>
  <c r="F366" i="1"/>
  <c r="I366" i="1"/>
  <c r="K366" i="1" s="1"/>
  <c r="G367" i="4" l="1"/>
  <c r="H367" i="4" s="1"/>
  <c r="J367" i="4" s="1"/>
  <c r="D368" i="4" s="1"/>
  <c r="G364" i="2"/>
  <c r="H364" i="2" s="1"/>
  <c r="J364" i="2" s="1"/>
  <c r="D365" i="2" s="1"/>
  <c r="G366" i="1"/>
  <c r="H366" i="1" s="1"/>
  <c r="J366" i="1" s="1"/>
  <c r="D367" i="1" s="1"/>
  <c r="I368" i="4" l="1"/>
  <c r="K368" i="4" s="1"/>
  <c r="F368" i="4"/>
  <c r="F365" i="2"/>
  <c r="I365" i="2"/>
  <c r="K365" i="2" s="1"/>
  <c r="I367" i="1"/>
  <c r="K367" i="1" s="1"/>
  <c r="F367" i="1"/>
  <c r="G368" i="4" l="1"/>
  <c r="H368" i="4" s="1"/>
  <c r="J368" i="4" s="1"/>
  <c r="D369" i="4" s="1"/>
  <c r="G365" i="2"/>
  <c r="H365" i="2" s="1"/>
  <c r="J365" i="2" s="1"/>
  <c r="D366" i="2" s="1"/>
  <c r="G367" i="1"/>
  <c r="H367" i="1" s="1"/>
  <c r="J367" i="1" s="1"/>
  <c r="D368" i="1" s="1"/>
  <c r="I369" i="4" l="1"/>
  <c r="K369" i="4" s="1"/>
  <c r="F369" i="4"/>
  <c r="F366" i="2"/>
  <c r="I366" i="2"/>
  <c r="K366" i="2" s="1"/>
  <c r="I368" i="1"/>
  <c r="K368" i="1" s="1"/>
  <c r="F368" i="1"/>
  <c r="G369" i="4" l="1"/>
  <c r="H369" i="4" s="1"/>
  <c r="J369" i="4" s="1"/>
  <c r="D370" i="4" s="1"/>
  <c r="G366" i="2"/>
  <c r="H366" i="2" s="1"/>
  <c r="J366" i="2" s="1"/>
  <c r="D367" i="2" s="1"/>
  <c r="G368" i="1"/>
  <c r="H368" i="1" s="1"/>
  <c r="J368" i="1" s="1"/>
  <c r="D369" i="1" s="1"/>
  <c r="I370" i="4" l="1"/>
  <c r="K370" i="4" s="1"/>
  <c r="F370" i="4"/>
  <c r="I367" i="2"/>
  <c r="K367" i="2" s="1"/>
  <c r="F367" i="2"/>
  <c r="I369" i="1"/>
  <c r="K369" i="1" s="1"/>
  <c r="F369" i="1"/>
  <c r="G370" i="4" l="1"/>
  <c r="H370" i="4" s="1"/>
  <c r="J370" i="4" s="1"/>
  <c r="D371" i="4" s="1"/>
  <c r="G367" i="2"/>
  <c r="H367" i="2" s="1"/>
  <c r="J367" i="2" s="1"/>
  <c r="D368" i="2" s="1"/>
  <c r="G369" i="1"/>
  <c r="H369" i="1" s="1"/>
  <c r="J369" i="1" s="1"/>
  <c r="D370" i="1" s="1"/>
  <c r="F371" i="4" l="1"/>
  <c r="I371" i="4"/>
  <c r="K371" i="4" s="1"/>
  <c r="F368" i="2"/>
  <c r="I368" i="2"/>
  <c r="K368" i="2" s="1"/>
  <c r="F370" i="1"/>
  <c r="I370" i="1"/>
  <c r="K370" i="1" s="1"/>
  <c r="G371" i="4" l="1"/>
  <c r="H371" i="4" s="1"/>
  <c r="J371" i="4" s="1"/>
  <c r="D372" i="4" s="1"/>
  <c r="G368" i="2"/>
  <c r="H368" i="2" s="1"/>
  <c r="J368" i="2" s="1"/>
  <c r="D369" i="2" s="1"/>
  <c r="G370" i="1"/>
  <c r="H370" i="1" s="1"/>
  <c r="J370" i="1" s="1"/>
  <c r="D371" i="1" s="1"/>
  <c r="I372" i="4" l="1"/>
  <c r="K372" i="4" s="1"/>
  <c r="F372" i="4"/>
  <c r="I369" i="2"/>
  <c r="K369" i="2" s="1"/>
  <c r="F369" i="2"/>
  <c r="I371" i="1"/>
  <c r="K371" i="1" s="1"/>
  <c r="F371" i="1"/>
  <c r="G372" i="4" l="1"/>
  <c r="H372" i="4" s="1"/>
  <c r="J372" i="4" s="1"/>
  <c r="D373" i="4" s="1"/>
  <c r="G369" i="2"/>
  <c r="H369" i="2" s="1"/>
  <c r="J369" i="2" s="1"/>
  <c r="D370" i="2" s="1"/>
  <c r="G371" i="1"/>
  <c r="H371" i="1" s="1"/>
  <c r="J371" i="1" s="1"/>
  <c r="D372" i="1" s="1"/>
  <c r="F373" i="4" l="1"/>
  <c r="I373" i="4"/>
  <c r="K373" i="4" s="1"/>
  <c r="I370" i="2"/>
  <c r="K370" i="2" s="1"/>
  <c r="F370" i="2"/>
  <c r="I372" i="1"/>
  <c r="K372" i="1" s="1"/>
  <c r="F372" i="1"/>
  <c r="G373" i="4" l="1"/>
  <c r="H373" i="4" s="1"/>
  <c r="J373" i="4" s="1"/>
  <c r="D374" i="4" s="1"/>
  <c r="G370" i="2"/>
  <c r="H370" i="2" s="1"/>
  <c r="J370" i="2" s="1"/>
  <c r="D371" i="2" s="1"/>
  <c r="G372" i="1"/>
  <c r="H372" i="1" s="1"/>
  <c r="J372" i="1" s="1"/>
  <c r="D373" i="1" s="1"/>
  <c r="I374" i="4" l="1"/>
  <c r="K374" i="4" s="1"/>
  <c r="F374" i="4"/>
  <c r="F371" i="2"/>
  <c r="I371" i="2"/>
  <c r="K371" i="2" s="1"/>
  <c r="I373" i="1"/>
  <c r="K373" i="1" s="1"/>
  <c r="F373" i="1"/>
  <c r="G374" i="4" l="1"/>
  <c r="H374" i="4" s="1"/>
  <c r="J374" i="4" s="1"/>
  <c r="D375" i="4" s="1"/>
  <c r="G371" i="2"/>
  <c r="H371" i="2" s="1"/>
  <c r="J371" i="2" s="1"/>
  <c r="D372" i="2" s="1"/>
  <c r="G373" i="1"/>
  <c r="H373" i="1" s="1"/>
  <c r="J373" i="1" s="1"/>
  <c r="D374" i="1" s="1"/>
  <c r="I375" i="4" l="1"/>
  <c r="F375" i="4"/>
  <c r="I6" i="4" s="1"/>
  <c r="I372" i="2"/>
  <c r="F372" i="2"/>
  <c r="I6" i="2" s="1"/>
  <c r="I374" i="1"/>
  <c r="K374" i="1" s="1"/>
  <c r="F374" i="1"/>
  <c r="K375" i="4" l="1"/>
  <c r="I7" i="4"/>
  <c r="G375" i="4"/>
  <c r="H375" i="4" s="1"/>
  <c r="J375" i="4"/>
  <c r="I5" i="4" s="1"/>
  <c r="K372" i="2"/>
  <c r="I7" i="2"/>
  <c r="J372" i="2"/>
  <c r="I5" i="2" s="1"/>
  <c r="G372" i="2"/>
  <c r="H372" i="2" s="1"/>
  <c r="G374" i="1"/>
  <c r="H374" i="1" s="1"/>
  <c r="J374" i="1" s="1"/>
  <c r="D375" i="1" s="1"/>
  <c r="I375" i="1" l="1"/>
  <c r="F375" i="1"/>
  <c r="J375" i="1" l="1"/>
  <c r="I5" i="1" s="1"/>
  <c r="G375" i="1"/>
  <c r="H375" i="1" s="1"/>
  <c r="I6" i="1"/>
  <c r="K375" i="1"/>
  <c r="I7" i="1"/>
</calcChain>
</file>

<file path=xl/sharedStrings.xml><?xml version="1.0" encoding="utf-8"?>
<sst xmlns="http://schemas.openxmlformats.org/spreadsheetml/2006/main" count="124" uniqueCount="37">
  <si>
    <t>LOAN AMORTIZATION SCHEDULE</t>
  </si>
  <si>
    <t>ENTER VALUES</t>
  </si>
  <si>
    <t>LOAN SUMMARY</t>
  </si>
  <si>
    <t>Loan amount</t>
  </si>
  <si>
    <t>Scheduled payment</t>
  </si>
  <si>
    <t>Annual interest rate</t>
  </si>
  <si>
    <t>Scheduled number of payments</t>
  </si>
  <si>
    <t>Loan period in years</t>
  </si>
  <si>
    <t>Actual number of payments</t>
  </si>
  <si>
    <t>Number of payments per year</t>
  </si>
  <si>
    <t>Total early payments</t>
  </si>
  <si>
    <t>Start date of loan</t>
  </si>
  <si>
    <t>Total interest</t>
  </si>
  <si>
    <t>Optional extra payments</t>
  </si>
  <si>
    <t>LENDER NAME</t>
  </si>
  <si>
    <t>PMT NO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</si>
  <si>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</si>
  <si>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</si>
  <si>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</si>
  <si>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</si>
  <si>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</si>
  <si>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</si>
  <si>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</si>
  <si>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</si>
  <si>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</si>
  <si>
    <t>Taxes</t>
  </si>
  <si>
    <t>Total Monthly Payment</t>
  </si>
  <si>
    <t>Mortgage Insurance (PMI) *</t>
  </si>
  <si>
    <t>Mortgage Insurance Premium (FHA) *</t>
  </si>
  <si>
    <t>* Approximate based on lenders fees, showing is .52% and 1%</t>
  </si>
  <si>
    <t>Based on chart below</t>
  </si>
  <si>
    <t xml:space="preserve">Fixed Monthly </t>
  </si>
  <si>
    <t>*</t>
  </si>
  <si>
    <t>Chrysler</t>
  </si>
  <si>
    <t>Local Bank or Credit Union</t>
  </si>
  <si>
    <t>Fair Credit</t>
  </si>
  <si>
    <t>Good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</si>
</sst>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 tint="0.24994659260841701"/>
      <name val="Calibri Light"/>
      <family val="2"/>
      <scheme val="major"/>
    </font>
    <font>
      <sz val="11"/>
      <name val="Calibri"/>
      <family val="2"/>
      <scheme val="minor"/>
    </font>
    <font>
      <b/>
      <sz val="11"/>
      <color theme="1" tint="0.24994659260841701"/>
      <name val="Calibri Light"/>
      <family val="2"/>
      <scheme val="major"/>
    </font>
    <font>
      <i/>
      <sz val="11"/>
      <color theme="1" tint="0.34998626667073579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9"/>
      <color theme="1" tint="0.24994659260841701"/>
      <name val="Calibri Light"/>
      <family val="2"/>
      <scheme val="major"/>
    </font>
    <font>
      <sz val="9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b/>
      <sz val="9"/>
      <color theme="1" tint="0.2499465926084170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1" tint="0.24994659260841701"/>
      <name val="Calibri Light"/>
      <family val="2"/>
      <scheme val="maj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4" tint="-0.499984740745262"/>
      </top>
      <bottom style="thin">
        <color theme="1" tint="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medium">
        <color theme="4" tint="-0.499984740745262"/>
      </top>
      <bottom style="hair">
        <color theme="4" tint="-0.499984740745262"/>
      </bottom>
      <diagonal/>
    </border>
    <border>
      <left/>
      <right/>
      <top style="hair">
        <color theme="4" tint="-0.499984740745262"/>
      </top>
      <bottom style="hair">
        <color theme="4" tint="-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4" fillId="0" borderId="1" applyNumberFormat="0" applyFill="0" applyProtection="0">
      <alignment vertical="center"/>
    </xf>
    <xf numFmtId="0" fontId="6" fillId="0" borderId="2" applyNumberFormat="0" applyFill="0" applyProtection="0">
      <alignment vertical="center"/>
    </xf>
    <xf numFmtId="0" fontId="2" fillId="0" borderId="5" applyNumberFormat="0" applyFill="0" applyProtection="0">
      <alignment vertical="center"/>
    </xf>
    <xf numFmtId="0" fontId="3" fillId="4" borderId="0" applyNumberFormat="0" applyBorder="0" applyProtection="0">
      <alignment vertical="center" wrapText="1"/>
    </xf>
    <xf numFmtId="0" fontId="8" fillId="3" borderId="3" applyNumberFormat="0" applyProtection="0">
      <alignment horizontal="right"/>
    </xf>
    <xf numFmtId="0" fontId="7" fillId="0" borderId="3" applyNumberFormat="0" applyProtection="0">
      <alignment vertical="center"/>
    </xf>
    <xf numFmtId="164" fontId="8" fillId="3" borderId="0" applyFont="0" applyFill="0" applyBorder="0" applyAlignment="0" applyProtection="0"/>
    <xf numFmtId="0" fontId="8" fillId="2" borderId="0" applyNumberFormat="0" applyFont="0" applyAlignment="0">
      <alignment horizontal="center" vertical="center" wrapText="1"/>
    </xf>
    <xf numFmtId="1" fontId="8" fillId="2" borderId="0" applyFont="0" applyFill="0" applyBorder="0" applyAlignment="0"/>
    <xf numFmtId="14" fontId="8" fillId="0" borderId="0" applyFont="0" applyFill="0" applyBorder="0" applyAlignment="0"/>
    <xf numFmtId="0" fontId="3" fillId="4" borderId="0" applyBorder="0" applyProtection="0">
      <alignment horizontal="right" vertical="center" wrapText="1" indent="2"/>
    </xf>
    <xf numFmtId="164" fontId="8" fillId="3" borderId="0" applyFont="0" applyFill="0" applyBorder="0" applyProtection="0">
      <alignment horizontal="right" indent="2"/>
    </xf>
  </cellStyleXfs>
  <cellXfs count="43">
    <xf numFmtId="0" fontId="0" fillId="0" borderId="0" xfId="0"/>
    <xf numFmtId="0" fontId="10" fillId="0" borderId="0" xfId="0" applyFont="1"/>
    <xf numFmtId="0" fontId="9" fillId="0" borderId="2" xfId="4" applyFont="1">
      <alignment vertical="center"/>
    </xf>
    <xf numFmtId="0" fontId="11" fillId="0" borderId="4" xfId="8" applyFont="1" applyBorder="1">
      <alignment vertical="center"/>
    </xf>
    <xf numFmtId="164" fontId="12" fillId="5" borderId="0" xfId="9" applyFont="1" applyFill="1"/>
    <xf numFmtId="0" fontId="11" fillId="0" borderId="6" xfId="8" applyFont="1" applyBorder="1">
      <alignment vertical="center"/>
    </xf>
    <xf numFmtId="164" fontId="12" fillId="2" borderId="6" xfId="10" applyNumberFormat="1" applyFont="1" applyBorder="1" applyAlignment="1"/>
    <xf numFmtId="0" fontId="11" fillId="0" borderId="3" xfId="8" applyFont="1">
      <alignment vertical="center"/>
    </xf>
    <xf numFmtId="10" fontId="12" fillId="5" borderId="3" xfId="2" applyFont="1" applyFill="1" applyBorder="1" applyAlignment="1">
      <alignment horizontal="right"/>
    </xf>
    <xf numFmtId="0" fontId="11" fillId="0" borderId="7" xfId="8" applyFont="1" applyBorder="1">
      <alignment vertical="center"/>
    </xf>
    <xf numFmtId="1" fontId="12" fillId="2" borderId="7" xfId="11" applyFont="1" applyBorder="1" applyAlignment="1"/>
    <xf numFmtId="1" fontId="12" fillId="5" borderId="0" xfId="11" applyFont="1" applyFill="1"/>
    <xf numFmtId="0" fontId="10" fillId="0" borderId="0" xfId="0" applyFont="1" applyAlignment="1">
      <alignment horizontal="center"/>
    </xf>
    <xf numFmtId="1" fontId="12" fillId="5" borderId="3" xfId="11" applyFont="1" applyFill="1" applyBorder="1"/>
    <xf numFmtId="164" fontId="12" fillId="2" borderId="7" xfId="10" applyNumberFormat="1" applyFont="1" applyBorder="1" applyAlignment="1"/>
    <xf numFmtId="14" fontId="12" fillId="5" borderId="3" xfId="12" applyFont="1" applyFill="1" applyBorder="1"/>
    <xf numFmtId="0" fontId="11" fillId="0" borderId="3" xfId="8" applyFont="1">
      <alignment vertical="center"/>
    </xf>
    <xf numFmtId="14" fontId="12" fillId="3" borderId="0" xfId="12" applyFont="1" applyFill="1" applyBorder="1"/>
    <xf numFmtId="0" fontId="11" fillId="0" borderId="7" xfId="8" applyFont="1" applyBorder="1">
      <alignment vertical="center"/>
    </xf>
    <xf numFmtId="164" fontId="10" fillId="8" borderId="7" xfId="10" applyNumberFormat="1" applyFont="1" applyFill="1" applyBorder="1" applyAlignment="1"/>
    <xf numFmtId="44" fontId="11" fillId="5" borderId="7" xfId="1" applyFont="1" applyFill="1" applyBorder="1" applyAlignment="1">
      <alignment vertical="center"/>
    </xf>
    <xf numFmtId="0" fontId="13" fillId="7" borderId="7" xfId="8" applyFont="1" applyFill="1" applyBorder="1">
      <alignment vertical="center"/>
    </xf>
    <xf numFmtId="164" fontId="14" fillId="7" borderId="7" xfId="10" applyNumberFormat="1" applyFont="1" applyFill="1" applyBorder="1" applyAlignment="1"/>
    <xf numFmtId="0" fontId="10" fillId="6" borderId="0" xfId="0" applyFont="1" applyFill="1"/>
    <xf numFmtId="0" fontId="11" fillId="6" borderId="3" xfId="8" applyFont="1" applyFill="1">
      <alignment vertical="center"/>
    </xf>
    <xf numFmtId="164" fontId="12" fillId="5" borderId="3" xfId="9" applyFont="1" applyFill="1" applyBorder="1"/>
    <xf numFmtId="0" fontId="15" fillId="0" borderId="5" xfId="5" applyFont="1">
      <alignment vertical="center"/>
    </xf>
    <xf numFmtId="0" fontId="12" fillId="3" borderId="3" xfId="7" applyFont="1">
      <alignment horizontal="right"/>
    </xf>
    <xf numFmtId="0" fontId="16" fillId="4" borderId="0" xfId="6" applyFont="1">
      <alignment vertical="center" wrapText="1"/>
    </xf>
    <xf numFmtId="0" fontId="16" fillId="4" borderId="0" xfId="13" applyFont="1">
      <alignment horizontal="right" vertical="center" wrapText="1" indent="2"/>
    </xf>
    <xf numFmtId="1" fontId="10" fillId="0" borderId="0" xfId="11" applyFont="1" applyFill="1" applyBorder="1" applyAlignment="1">
      <alignment horizontal="left"/>
    </xf>
    <xf numFmtId="14" fontId="10" fillId="0" borderId="0" xfId="12" applyFont="1" applyFill="1" applyBorder="1" applyAlignment="1">
      <alignment horizontal="left"/>
    </xf>
    <xf numFmtId="164" fontId="10" fillId="0" borderId="0" xfId="14" applyFont="1" applyFill="1" applyBorder="1">
      <alignment horizontal="right" indent="2"/>
    </xf>
    <xf numFmtId="0" fontId="13" fillId="5" borderId="7" xfId="8" applyFont="1" applyFill="1" applyBorder="1">
      <alignment vertical="center"/>
    </xf>
    <xf numFmtId="164" fontId="14" fillId="5" borderId="7" xfId="10" applyNumberFormat="1" applyFont="1" applyFill="1" applyBorder="1" applyAlignment="1"/>
    <xf numFmtId="0" fontId="11" fillId="0" borderId="8" xfId="8" applyFont="1" applyBorder="1">
      <alignment vertical="center"/>
    </xf>
    <xf numFmtId="14" fontId="12" fillId="5" borderId="8" xfId="12" applyFont="1" applyFill="1" applyBorder="1"/>
    <xf numFmtId="0" fontId="11" fillId="0" borderId="0" xfId="8" applyFont="1" applyBorder="1">
      <alignment vertical="center"/>
    </xf>
    <xf numFmtId="14" fontId="12" fillId="0" borderId="0" xfId="12" applyFont="1" applyFill="1" applyBorder="1"/>
    <xf numFmtId="0" fontId="17" fillId="0" borderId="1" xfId="3" applyFont="1">
      <alignment vertical="center"/>
    </xf>
    <xf numFmtId="0" fontId="18" fillId="0" borderId="0" xfId="0" applyFont="1"/>
    <xf numFmtId="0" fontId="4" fillId="0" borderId="1" xfId="3" applyFont="1">
      <alignment vertical="center"/>
    </xf>
    <xf numFmtId="0" fontId="19" fillId="0" borderId="0" xfId="0" applyFont="1"/>
  </cellXfs>
  <cellStyles count="15">
    <cellStyle name="Amount" xfId="9" xr:uid="{38360F20-5FD9-4948-8530-F0754A4DF0C6}"/>
    <cellStyle name="Currency" xfId="1" builtinId="4"/>
    <cellStyle name="Date" xfId="12" xr:uid="{94E11909-789F-47F2-8EE8-461AF913A019}"/>
    <cellStyle name="Explanatory Text" xfId="8" builtinId="53"/>
    <cellStyle name="Heading 1" xfId="3" builtinId="16"/>
    <cellStyle name="Heading 2" xfId="4" builtinId="17"/>
    <cellStyle name="Heading 3" xfId="5" builtinId="18"/>
    <cellStyle name="Heading 4" xfId="6" builtinId="19"/>
    <cellStyle name="Heading 4 Right aligned" xfId="13" xr:uid="{736CC6D4-75FC-4AC9-8F7F-0E362C5701E0}"/>
    <cellStyle name="Input" xfId="7" builtinId="20"/>
    <cellStyle name="Loan Summary" xfId="10" xr:uid="{46A698EA-4D0B-4C5C-B404-745399A91C0A}"/>
    <cellStyle name="Normal" xfId="0" builtinId="0"/>
    <cellStyle name="Number" xfId="11" xr:uid="{D8313C78-9811-46AD-A2C5-6CE883AF3E3D}"/>
    <cellStyle name="Percent" xfId="2" builtinId="5"/>
    <cellStyle name="Table Amount" xfId="14" xr:uid="{0ACCD078-0F4A-40AB-B3E6-4BFB4A9006C4}"/>
  </cellStyles>
  <dxfs count="59"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Amortization Schedule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63500</xdr:colOff>
      <xdr:row>2</xdr:row>
      <xdr:rowOff>6350</xdr:rowOff>
    </xdr:from>
    <xdr:to>
      <xdr:col>9</xdr:col>
      <xdr:colOff>349250</xdr:colOff>
      <xdr:row>6</xdr:row>
      <xdr:rowOff>127000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70383BC6-37B7-4BAA-9DBF-079AFDC13C43}"/>
            </a:ext>
          </a:extLst>
        </xdr:cNvPr>
        <xdr:cNvSpPr/>
      </xdr:nvSpPr>
      <xdr:spPr>
        <a:xfrm>
          <a:off x="9137650" y="641350"/>
          <a:ext cx="285750" cy="755650"/>
        </a:xfrm>
        <a:prstGeom prst="rightBrace">
          <a:avLst>
            <a:gd name="adj1" fmla="val 8333"/>
            <a:gd name="adj2" fmla="val 4925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38100</xdr:colOff>
      <xdr:row>7</xdr:row>
      <xdr:rowOff>0</xdr:rowOff>
    </xdr:from>
    <xdr:to>
      <xdr:col>9</xdr:col>
      <xdr:colOff>260350</xdr:colOff>
      <xdr:row>9</xdr:row>
      <xdr:rowOff>146050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B3C68C32-9E90-441B-BB64-7DAF359AC59C}"/>
            </a:ext>
          </a:extLst>
        </xdr:cNvPr>
        <xdr:cNvSpPr/>
      </xdr:nvSpPr>
      <xdr:spPr>
        <a:xfrm>
          <a:off x="9112250" y="1422400"/>
          <a:ext cx="222250" cy="4508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63500</xdr:colOff>
      <xdr:row>2</xdr:row>
      <xdr:rowOff>6350</xdr:rowOff>
    </xdr:from>
    <xdr:to>
      <xdr:col>9</xdr:col>
      <xdr:colOff>349250</xdr:colOff>
      <xdr:row>6</xdr:row>
      <xdr:rowOff>127000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118E3172-6DF2-4D39-880E-F5B0F8A670B6}"/>
            </a:ext>
          </a:extLst>
        </xdr:cNvPr>
        <xdr:cNvSpPr/>
      </xdr:nvSpPr>
      <xdr:spPr>
        <a:xfrm>
          <a:off x="9137650" y="641350"/>
          <a:ext cx="285750" cy="850900"/>
        </a:xfrm>
        <a:prstGeom prst="rightBrace">
          <a:avLst>
            <a:gd name="adj1" fmla="val 8333"/>
            <a:gd name="adj2" fmla="val 4925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38100</xdr:colOff>
      <xdr:row>7</xdr:row>
      <xdr:rowOff>0</xdr:rowOff>
    </xdr:from>
    <xdr:to>
      <xdr:col>9</xdr:col>
      <xdr:colOff>260350</xdr:colOff>
      <xdr:row>9</xdr:row>
      <xdr:rowOff>146050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35D18E11-70DC-4391-9174-DE49D639A3CC}"/>
            </a:ext>
          </a:extLst>
        </xdr:cNvPr>
        <xdr:cNvSpPr/>
      </xdr:nvSpPr>
      <xdr:spPr>
        <a:xfrm>
          <a:off x="9112250" y="1549400"/>
          <a:ext cx="222250" cy="5143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yrese%20Gould%20Jacinto/Documents/Tirelli%20Pierce/Listing%20Picture%20Ads/Loan%20amortization%20Jacint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"/>
      <sheetName val="Solar"/>
      <sheetName val="Excavator"/>
      <sheetName val="tractor"/>
    </sheetNames>
    <sheetDataSet>
      <sheetData sheetId="0" refreshError="1"/>
      <sheetData sheetId="1" refreshError="1"/>
      <sheetData sheetId="2">
        <row r="1">
          <cell r="B1" t="str">
            <v>LOAN AMORTIZATION SCHEDULE</v>
          </cell>
        </row>
        <row r="3">
          <cell r="E3">
            <v>25525</v>
          </cell>
          <cell r="I3">
            <v>476.21647320833858</v>
          </cell>
        </row>
        <row r="4">
          <cell r="E4">
            <v>7.2400000000000006E-2</v>
          </cell>
          <cell r="I4">
            <v>64.944000000000003</v>
          </cell>
        </row>
        <row r="5">
          <cell r="E5">
            <v>5.4119999999999999</v>
          </cell>
        </row>
        <row r="6">
          <cell r="E6">
            <v>12</v>
          </cell>
        </row>
        <row r="7">
          <cell r="E7">
            <v>43028</v>
          </cell>
        </row>
        <row r="9">
          <cell r="E9">
            <v>104.57</v>
          </cell>
        </row>
        <row r="11">
          <cell r="B11" t="str">
            <v>PMT NO</v>
          </cell>
          <cell r="C11" t="str">
            <v>PAYMENT DATE</v>
          </cell>
          <cell r="D11" t="str">
            <v>BEGINNING BALANCE</v>
          </cell>
          <cell r="E11" t="str">
            <v>SCHEDULED PAYMENT</v>
          </cell>
          <cell r="F11" t="str">
            <v>EXTRA PAYMENT</v>
          </cell>
          <cell r="G11" t="str">
            <v>TOTAL PAYMENT</v>
          </cell>
          <cell r="H11" t="str">
            <v>PRINCIPAL</v>
          </cell>
          <cell r="I11" t="str">
            <v>INTEREST</v>
          </cell>
          <cell r="J11" t="str">
            <v>ENDING BALANCE</v>
          </cell>
          <cell r="K11" t="str">
            <v>CUMULATIVE INTEREST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18">
          <cell r="B18">
            <v>7</v>
          </cell>
        </row>
        <row r="19">
          <cell r="B19">
            <v>8</v>
          </cell>
        </row>
        <row r="20">
          <cell r="B20">
            <v>9</v>
          </cell>
        </row>
        <row r="21">
          <cell r="B21">
            <v>10</v>
          </cell>
        </row>
        <row r="22">
          <cell r="B22">
            <v>11</v>
          </cell>
        </row>
        <row r="23">
          <cell r="B23">
            <v>12</v>
          </cell>
        </row>
        <row r="24">
          <cell r="B24">
            <v>13</v>
          </cell>
        </row>
        <row r="25">
          <cell r="B25">
            <v>14</v>
          </cell>
        </row>
        <row r="26">
          <cell r="B26">
            <v>15</v>
          </cell>
        </row>
        <row r="27">
          <cell r="B27">
            <v>16</v>
          </cell>
        </row>
        <row r="28">
          <cell r="B28">
            <v>17</v>
          </cell>
        </row>
        <row r="29">
          <cell r="B29">
            <v>18</v>
          </cell>
        </row>
        <row r="30">
          <cell r="B30">
            <v>19</v>
          </cell>
        </row>
        <row r="31">
          <cell r="B31">
            <v>20</v>
          </cell>
        </row>
        <row r="32">
          <cell r="B32">
            <v>21</v>
          </cell>
        </row>
        <row r="33">
          <cell r="B33">
            <v>22</v>
          </cell>
        </row>
        <row r="34">
          <cell r="B34">
            <v>23</v>
          </cell>
        </row>
        <row r="35">
          <cell r="B35">
            <v>24</v>
          </cell>
        </row>
        <row r="36">
          <cell r="B36">
            <v>25</v>
          </cell>
        </row>
        <row r="37">
          <cell r="B37">
            <v>26</v>
          </cell>
        </row>
        <row r="38">
          <cell r="B38">
            <v>27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43">
          <cell r="B43">
            <v>32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  <row r="56">
          <cell r="B56">
            <v>45</v>
          </cell>
        </row>
        <row r="57">
          <cell r="B57">
            <v>46</v>
          </cell>
        </row>
        <row r="58">
          <cell r="B58">
            <v>47</v>
          </cell>
        </row>
        <row r="59">
          <cell r="B59">
            <v>48</v>
          </cell>
        </row>
        <row r="60">
          <cell r="B60">
            <v>49</v>
          </cell>
        </row>
        <row r="61">
          <cell r="B61">
            <v>50</v>
          </cell>
        </row>
        <row r="62">
          <cell r="B62">
            <v>51</v>
          </cell>
        </row>
        <row r="63">
          <cell r="B63">
            <v>52</v>
          </cell>
        </row>
        <row r="64">
          <cell r="B64">
            <v>53</v>
          </cell>
        </row>
        <row r="65">
          <cell r="B65">
            <v>54</v>
          </cell>
        </row>
        <row r="66">
          <cell r="B66">
            <v>55</v>
          </cell>
        </row>
        <row r="67">
          <cell r="B67">
            <v>56</v>
          </cell>
        </row>
        <row r="68">
          <cell r="B68">
            <v>57</v>
          </cell>
        </row>
        <row r="69">
          <cell r="B69">
            <v>58</v>
          </cell>
        </row>
        <row r="70">
          <cell r="B70">
            <v>59</v>
          </cell>
        </row>
        <row r="71">
          <cell r="B71">
            <v>60</v>
          </cell>
        </row>
        <row r="72">
          <cell r="B72">
            <v>61</v>
          </cell>
        </row>
        <row r="73">
          <cell r="B73">
            <v>62</v>
          </cell>
        </row>
        <row r="74">
          <cell r="B74">
            <v>63</v>
          </cell>
        </row>
        <row r="75">
          <cell r="B75">
            <v>64</v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</sheetData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903C84A-7029-469E-8797-B2D4A017031A}" name="PaymentSchedule45" displayName="PaymentSchedule45" ref="B15:K375" totalsRowShown="0" headerRowDxfId="11" dataDxfId="10" headerRowCellStyle="Amount">
  <tableColumns count="10">
    <tableColumn id="1" xr3:uid="{A8C7E192-B64F-4B19-A403-2BB84FCAD9FF}" name="PMT NO" dataDxfId="9" dataCellStyle="Number">
      <calculatedColumnFormula>IF(LoanIsGood,IF(ROW()-ROW(PaymentSchedule45[[#Headers],[PMT NO]])&gt;ScheduledNumberOfPayments,"",ROW()-ROW(PaymentSchedule45[[#Headers],[PMT NO]])),"")</calculatedColumnFormula>
    </tableColumn>
    <tableColumn id="2" xr3:uid="{826CC616-9A6B-4720-84B8-86907E3FA455}" name="PAYMENT DATE" dataDxfId="8" dataCellStyle="Date">
      <calculatedColumnFormula>IF(PaymentSchedule45[[#This Row],[PMT NO]]&lt;&gt;"",EOMONTH(LoanStartDate,ROW(PaymentSchedule45[[#This Row],[PMT NO]])-ROW(PaymentSchedule45[[#Headers],[PMT NO]])-2)+DAY(LoanStartDate),"")</calculatedColumnFormula>
    </tableColumn>
    <tableColumn id="3" xr3:uid="{C904D49C-F47D-4BE2-96F8-3C27CF90CACC}" name="BEGINNING BALANCE" dataDxfId="7" dataCellStyle="Table Amount">
      <calculatedColumnFormula>IF(PaymentSchedule45[[#This Row],[PMT NO]]&lt;&gt;"",IF(ROW()-ROW(PaymentSchedule45[[#Headers],[BEGINNING BALANCE]])=1,LoanAmount,INDEX(PaymentSchedule45[ENDING BALANCE],ROW()-ROW(PaymentSchedule45[[#Headers],[BEGINNING BALANCE]])-1)),"")</calculatedColumnFormula>
    </tableColumn>
    <tableColumn id="4" xr3:uid="{EE596ABD-093A-446C-A512-DD7D9C25DDE3}" name="SCHEDULED PAYMENT" dataDxfId="6" dataCellStyle="Table Amount">
      <calculatedColumnFormula>IF(PaymentSchedule45[[#This Row],[PMT NO]]&lt;&gt;"",ScheduledPayment,"")</calculatedColumnFormula>
    </tableColumn>
    <tableColumn id="5" xr3:uid="{F15F8C74-8332-4DE9-9B49-6F9D192D7AAB}" name="EXTRA PAYMENT" dataDxfId="5" dataCellStyle="Table Amount">
      <calculatedColumnFormula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calculatedColumnFormula>
    </tableColumn>
    <tableColumn id="6" xr3:uid="{CD13F706-74DC-40B6-96B7-2B9888BE7C4E}" name="TOTAL PAYMENT" dataDxfId="4" dataCellStyle="Table Amount">
      <calculatedColumnFormula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calculatedColumnFormula>
    </tableColumn>
    <tableColumn id="7" xr3:uid="{E53EF0C2-92FA-4460-A7CC-A5C9180AE9F6}" name="PRINCIPAL" dataDxfId="3" dataCellStyle="Table Amount">
      <calculatedColumnFormula>IF(PaymentSchedule45[[#This Row],[PMT NO]]&lt;&gt;"",PaymentSchedule45[[#This Row],[TOTAL PAYMENT]]-PaymentSchedule45[[#This Row],[INTEREST]],"")</calculatedColumnFormula>
    </tableColumn>
    <tableColumn id="8" xr3:uid="{A8296181-B1F1-4CAE-86D0-FB7C8BFB4497}" name="INTEREST" dataDxfId="2" dataCellStyle="Table Amount">
      <calculatedColumnFormula>IF(PaymentSchedule45[[#This Row],[PMT NO]]&lt;&gt;"",PaymentSchedule45[[#This Row],[BEGINNING BALANCE]]*(InterestRate/PaymentsPerYear),"")</calculatedColumnFormula>
    </tableColumn>
    <tableColumn id="9" xr3:uid="{927C5C80-F024-48FE-B8D3-F78A1C64EE3E}" name="ENDING BALANCE" dataDxfId="1" dataCellStyle="Table Amount">
      <calculatedColumnFormula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calculatedColumnFormula>
    </tableColumn>
    <tableColumn id="10" xr3:uid="{074A5629-D96F-4163-A686-285EDAC1DDCA}" name="CUMULATIVE INTEREST" dataDxfId="0" dataCellStyle="Table Amount">
      <calculatedColumnFormula>IF(PaymentSchedule45[[#This Row],[PMT NO]]&lt;&gt;"",SUM(INDEX(PaymentSchedule45[INTEREST],1,1):PaymentSchedule45[[#This Row],[INTEREST]]),"")</calculatedColumnFormula>
    </tableColumn>
  </tableColumns>
  <tableStyleInfo name="Loan Amortization Schedule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scheduled payment, extra payment, principal amount, interest and cumulative interest amount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2E29EF-8CA6-4668-9BAB-0EC6989B946E}" name="PaymentSchedule4" displayName="PaymentSchedule4" ref="B15:K375" totalsRowShown="0" headerRowDxfId="41" dataDxfId="40" headerRowCellStyle="Amount">
  <tableColumns count="10">
    <tableColumn id="1" xr3:uid="{3E733175-4318-4241-AD9D-0497335C993B}" name="PMT NO" dataDxfId="51" dataCellStyle="Number">
      <calculatedColumnFormula>IF(LoanIsGood,IF(ROW()-ROW(PaymentSchedule4[[#Headers],[PMT NO]])&gt;ScheduledNumberOfPayments,"",ROW()-ROW(PaymentSchedule4[[#Headers],[PMT NO]])),"")</calculatedColumnFormula>
    </tableColumn>
    <tableColumn id="2" xr3:uid="{911559CE-83EE-46D3-ACD2-B80C103BCD91}" name="PAYMENT DATE" dataDxfId="50" dataCellStyle="Date">
      <calculatedColumnFormula>IF(PaymentSchedule4[[#This Row],[PMT NO]]&lt;&gt;"",EOMONTH(LoanStartDate,ROW(PaymentSchedule4[[#This Row],[PMT NO]])-ROW(PaymentSchedule4[[#Headers],[PMT NO]])-2)+DAY(LoanStartDate),"")</calculatedColumnFormula>
    </tableColumn>
    <tableColumn id="3" xr3:uid="{6D563FB9-589D-4C62-80C5-FC73930704C4}" name="BEGINNING BALANCE" dataDxfId="49" dataCellStyle="Table Amount">
      <calculatedColumnFormula>IF(PaymentSchedule4[[#This Row],[PMT NO]]&lt;&gt;"",IF(ROW()-ROW(PaymentSchedule4[[#Headers],[BEGINNING BALANCE]])=1,LoanAmount,INDEX(PaymentSchedule4[ENDING BALANCE],ROW()-ROW(PaymentSchedule4[[#Headers],[BEGINNING BALANCE]])-1)),"")</calculatedColumnFormula>
    </tableColumn>
    <tableColumn id="4" xr3:uid="{39CB42E9-C499-4843-85C9-AA8C378DE1B4}" name="SCHEDULED PAYMENT" dataDxfId="48" dataCellStyle="Table Amount">
      <calculatedColumnFormula>IF(PaymentSchedule4[[#This Row],[PMT NO]]&lt;&gt;"",ScheduledPayment,"")</calculatedColumnFormula>
    </tableColumn>
    <tableColumn id="5" xr3:uid="{0DEDE37D-F1AF-4A16-B407-F5057C83A568}" name="EXTRA PAYMENT" dataDxfId="47" dataCellStyle="Table Amount">
      <calculatedColumnFormula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calculatedColumnFormula>
    </tableColumn>
    <tableColumn id="6" xr3:uid="{4DB05700-2CC2-4678-B357-F04C6AFB7ECE}" name="TOTAL PAYMENT" dataDxfId="46" dataCellStyle="Table Amount">
      <calculatedColumnFormula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calculatedColumnFormula>
    </tableColumn>
    <tableColumn id="7" xr3:uid="{FE022C18-AA77-4220-AFBA-B27657AF3133}" name="PRINCIPAL" dataDxfId="45" dataCellStyle="Table Amount">
      <calculatedColumnFormula>IF(PaymentSchedule4[[#This Row],[PMT NO]]&lt;&gt;"",PaymentSchedule4[[#This Row],[TOTAL PAYMENT]]-PaymentSchedule4[[#This Row],[INTEREST]],"")</calculatedColumnFormula>
    </tableColumn>
    <tableColumn id="8" xr3:uid="{542A81F4-7F38-445A-B554-D1711E914583}" name="INTEREST" dataDxfId="44" dataCellStyle="Table Amount">
      <calculatedColumnFormula>IF(PaymentSchedule4[[#This Row],[PMT NO]]&lt;&gt;"",PaymentSchedule4[[#This Row],[BEGINNING BALANCE]]*(InterestRate/PaymentsPerYear),"")</calculatedColumnFormula>
    </tableColumn>
    <tableColumn id="9" xr3:uid="{2DA1BD2E-4B29-4B25-AF83-2BCCFDFDA801}" name="ENDING BALANCE" dataDxfId="43" dataCellStyle="Table Amount">
      <calculatedColumnFormula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calculatedColumnFormula>
    </tableColumn>
    <tableColumn id="10" xr3:uid="{08596B59-0BF3-4BFE-A96C-E99A98A8766F}" name="CUMULATIVE INTEREST" dataDxfId="42" dataCellStyle="Table Amount">
      <calculatedColumnFormula>IF(PaymentSchedule4[[#This Row],[PMT NO]]&lt;&gt;"",SUM(INDEX(PaymentSchedule4[INTEREST],1,1):PaymentSchedule4[[#This Row],[INTEREST]]),"")</calculatedColumnFormula>
    </tableColumn>
  </tableColumns>
  <tableStyleInfo name="Loan Amortization Schedule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scheduled payment, extra payment, principal amount, interest and cumulative interest amount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CDE42C-6210-478B-A268-FB681DA518B6}" name="PaymentSchedule43" displayName="PaymentSchedule43" ref="B12:K372" totalsRowShown="0" headerRowDxfId="39" dataDxfId="38" headerRowCellStyle="Amount">
  <tableColumns count="10">
    <tableColumn id="1" xr3:uid="{81230040-0428-4658-96DE-5F0CB408FCB7}" name="PMT NO" dataDxfId="37" dataCellStyle="Number">
      <calculatedColumnFormula>IF(LoanIsGood,IF(ROW()-ROW(PaymentSchedule43[[#Headers],[PMT NO]])&gt;ScheduledNumberOfPayments,"",ROW()-ROW(PaymentSchedule43[[#Headers],[PMT NO]])),"")</calculatedColumnFormula>
    </tableColumn>
    <tableColumn id="2" xr3:uid="{200D70AB-0511-4D99-9DAB-ACFBAAC392B2}" name="PAYMENT DATE" dataDxfId="36" dataCellStyle="Date">
      <calculatedColumnFormula>IF(PaymentSchedule43[[#This Row],[PMT NO]]&lt;&gt;"",EOMONTH(LoanStartDate,ROW(PaymentSchedule43[[#This Row],[PMT NO]])-ROW(PaymentSchedule43[[#Headers],[PMT NO]])-2)+DAY(LoanStartDate),"")</calculatedColumnFormula>
    </tableColumn>
    <tableColumn id="3" xr3:uid="{E0AA056F-71E8-4EA9-B3C2-1DF2406BF741}" name="BEGINNING BALANCE" dataDxfId="35" dataCellStyle="Table Amount">
      <calculatedColumnFormula>IF(PaymentSchedule43[[#This Row],[PMT NO]]&lt;&gt;"",IF(ROW()-ROW(PaymentSchedule43[[#Headers],[BEGINNING BALANCE]])=1,LoanAmount,INDEX(PaymentSchedule43[ENDING BALANCE],ROW()-ROW(PaymentSchedule43[[#Headers],[BEGINNING BALANCE]])-1)),"")</calculatedColumnFormula>
    </tableColumn>
    <tableColumn id="4" xr3:uid="{329DFB91-023A-4850-8203-CAB1A21E7CB3}" name="SCHEDULED PAYMENT" dataDxfId="34" dataCellStyle="Table Amount">
      <calculatedColumnFormula>IF(PaymentSchedule43[[#This Row],[PMT NO]]&lt;&gt;"",ScheduledPayment,"")</calculatedColumnFormula>
    </tableColumn>
    <tableColumn id="5" xr3:uid="{230611B9-D401-421C-B2AF-5BB3FCDF5B80}" name="EXTRA PAYMENT" dataDxfId="33" dataCellStyle="Table Amount">
      <calculatedColumnFormula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calculatedColumnFormula>
    </tableColumn>
    <tableColumn id="6" xr3:uid="{4D0BE309-F0D1-4E85-9D51-13DF078668B3}" name="TOTAL PAYMENT" dataDxfId="32" dataCellStyle="Table Amount">
      <calculatedColumnFormula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calculatedColumnFormula>
    </tableColumn>
    <tableColumn id="7" xr3:uid="{2FA61128-4058-46AE-9C42-8B271002667B}" name="PRINCIPAL" dataDxfId="31" dataCellStyle="Table Amount">
      <calculatedColumnFormula>IF(PaymentSchedule43[[#This Row],[PMT NO]]&lt;&gt;"",PaymentSchedule43[[#This Row],[TOTAL PAYMENT]]-PaymentSchedule43[[#This Row],[INTEREST]],"")</calculatedColumnFormula>
    </tableColumn>
    <tableColumn id="8" xr3:uid="{65566E7A-57AC-4FDF-A238-93FE6223AF7C}" name="INTEREST" dataDxfId="30" dataCellStyle="Table Amount">
      <calculatedColumnFormula>IF(PaymentSchedule43[[#This Row],[PMT NO]]&lt;&gt;"",PaymentSchedule43[[#This Row],[BEGINNING BALANCE]]*(InterestRate/PaymentsPerYear),"")</calculatedColumnFormula>
    </tableColumn>
    <tableColumn id="9" xr3:uid="{63B28441-F5FB-4C50-BE6F-6E89678134E1}" name="ENDING BALANCE" dataDxfId="29" dataCellStyle="Table Amount">
      <calculatedColumnFormula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calculatedColumnFormula>
    </tableColumn>
    <tableColumn id="10" xr3:uid="{43BB8067-18D6-4B11-A1B8-FDCAE5E12F8E}" name="CUMULATIVE INTEREST" dataDxfId="28" dataCellStyle="Table Amount">
      <calculatedColumnFormula>IF(PaymentSchedule43[[#This Row],[PMT NO]]&lt;&gt;"",SUM(INDEX(PaymentSchedule43[INTEREST],1,1):PaymentSchedule43[[#This Row],[INTEREST]]),"")</calculatedColumnFormula>
    </tableColumn>
  </tableColumns>
  <tableStyleInfo name="Loan Amortization Schedule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scheduled payment, extra payment, principal amount, interest and cumulative interest amount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4B3BA6-14E4-4A7E-B72B-FB84E6649C20}" name="PaymentSchedule434" displayName="PaymentSchedule434" ref="B12:K372" totalsRowShown="0" headerRowDxfId="24" dataDxfId="23" headerRowCellStyle="Amount">
  <tableColumns count="10">
    <tableColumn id="1" xr3:uid="{D8D55CF7-42CD-4811-B545-9B5E1BC3AEC7}" name="PMT NO" dataDxfId="22" dataCellStyle="Number">
      <calculatedColumnFormula>IF(LoanIsGood,IF(ROW()-ROW(PaymentSchedule434[[#Headers],[PMT NO]])&gt;ScheduledNumberOfPayments,"",ROW()-ROW(PaymentSchedule434[[#Headers],[PMT NO]])),"")</calculatedColumnFormula>
    </tableColumn>
    <tableColumn id="2" xr3:uid="{782F3398-B0C0-4554-AE47-BE887167D7FF}" name="PAYMENT DATE" dataDxfId="21" dataCellStyle="Date">
      <calculatedColumnFormula>IF(PaymentSchedule434[[#This Row],[PMT NO]]&lt;&gt;"",EOMONTH(LoanStartDate,ROW(PaymentSchedule434[[#This Row],[PMT NO]])-ROW(PaymentSchedule434[[#Headers],[PMT NO]])-2)+DAY(LoanStartDate),"")</calculatedColumnFormula>
    </tableColumn>
    <tableColumn id="3" xr3:uid="{972F1A59-7751-4C3A-8266-B06F59857EA5}" name="BEGINNING BALANCE" dataDxfId="20" dataCellStyle="Table Amount">
      <calculatedColumnFormula>IF(PaymentSchedule434[[#This Row],[PMT NO]]&lt;&gt;"",IF(ROW()-ROW(PaymentSchedule434[[#Headers],[BEGINNING BALANCE]])=1,LoanAmount,INDEX(PaymentSchedule434[ENDING BALANCE],ROW()-ROW(PaymentSchedule434[[#Headers],[BEGINNING BALANCE]])-1)),"")</calculatedColumnFormula>
    </tableColumn>
    <tableColumn id="4" xr3:uid="{3A07F0DB-2E6C-4342-9BA3-AC15444485D9}" name="SCHEDULED PAYMENT" dataDxfId="19" dataCellStyle="Table Amount">
      <calculatedColumnFormula>IF(PaymentSchedule434[[#This Row],[PMT NO]]&lt;&gt;"",ScheduledPayment,"")</calculatedColumnFormula>
    </tableColumn>
    <tableColumn id="5" xr3:uid="{7A694A1D-D14C-4142-A54E-7FC88B75DB00}" name="EXTRA PAYMENT" dataDxfId="18" dataCellStyle="Table Amount">
      <calculatedColumnFormula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calculatedColumnFormula>
    </tableColumn>
    <tableColumn id="6" xr3:uid="{08A6A7CE-5B70-44BC-8CB4-5482A5A0258A}" name="TOTAL PAYMENT" dataDxfId="17" dataCellStyle="Table Amount">
      <calculatedColumnFormula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calculatedColumnFormula>
    </tableColumn>
    <tableColumn id="7" xr3:uid="{5DA78C30-8CD4-4E82-BF73-2C22AC15343B}" name="PRINCIPAL" dataDxfId="16" dataCellStyle="Table Amount">
      <calculatedColumnFormula>IF(PaymentSchedule434[[#This Row],[PMT NO]]&lt;&gt;"",PaymentSchedule434[[#This Row],[TOTAL PAYMENT]]-PaymentSchedule434[[#This Row],[INTEREST]],"")</calculatedColumnFormula>
    </tableColumn>
    <tableColumn id="8" xr3:uid="{41EE154F-4DA6-46D9-9A35-F93AF9CA8DAD}" name="INTEREST" dataDxfId="15" dataCellStyle="Table Amount">
      <calculatedColumnFormula>IF(PaymentSchedule434[[#This Row],[PMT NO]]&lt;&gt;"",PaymentSchedule434[[#This Row],[BEGINNING BALANCE]]*(InterestRate/PaymentsPerYear),"")</calculatedColumnFormula>
    </tableColumn>
    <tableColumn id="9" xr3:uid="{BB7002FB-89B8-45B8-9B0D-342D17F56332}" name="ENDING BALANCE" dataDxfId="14" dataCellStyle="Table Amount">
      <calculatedColumnFormula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calculatedColumnFormula>
    </tableColumn>
    <tableColumn id="10" xr3:uid="{7C9F9E10-2595-4263-A74D-2DFCB6D41817}" name="CUMULATIVE INTEREST" dataDxfId="13" dataCellStyle="Table Amount">
      <calculatedColumnFormula>IF(PaymentSchedule434[[#This Row],[PMT NO]]&lt;&gt;"",SUM(INDEX(PaymentSchedule434[INTEREST],1,1):PaymentSchedule434[[#This Row],[INTEREST]]),"")</calculatedColumnFormula>
    </tableColumn>
  </tableColumns>
  <tableStyleInfo name="Loan Amortization Schedule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scheduled payment, extra payment, principal amount, interest and cumulative interest amount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86DFF-2D1B-4223-964B-EC674AB2260C}">
  <sheetPr>
    <tabColor theme="4"/>
    <pageSetUpPr autoPageBreaks="0" fitToPage="1"/>
  </sheetPr>
  <dimension ref="B1:K375"/>
  <sheetViews>
    <sheetView showGridLines="0" tabSelected="1" zoomScaleNormal="100" workbookViewId="0">
      <pane ySplit="15" topLeftCell="A52" activePane="bottomLeft" state="frozen"/>
      <selection pane="bottomLeft" activeCell="F7" sqref="F7"/>
    </sheetView>
  </sheetViews>
  <sheetFormatPr defaultRowHeight="12" x14ac:dyDescent="0.3"/>
  <cols>
    <col min="1" max="1" width="2.81640625" style="1" customWidth="1"/>
    <col min="2" max="2" width="7.453125" style="1" customWidth="1"/>
    <col min="3" max="3" width="16.36328125" style="1" customWidth="1"/>
    <col min="4" max="4" width="18.26953125" style="1" customWidth="1"/>
    <col min="5" max="10" width="17" style="1" customWidth="1"/>
    <col min="11" max="11" width="19.1796875" style="1" customWidth="1"/>
    <col min="12" max="16384" width="8.7265625" style="1"/>
  </cols>
  <sheetData>
    <row r="1" spans="2:11" s="40" customFormat="1" ht="30" customHeight="1" thickBot="1" x14ac:dyDescent="0.5">
      <c r="B1" s="39" t="s">
        <v>0</v>
      </c>
      <c r="C1" s="39"/>
      <c r="D1" s="39"/>
      <c r="E1" s="39"/>
      <c r="F1" s="39" t="s">
        <v>35</v>
      </c>
      <c r="G1" s="39"/>
      <c r="H1" s="39"/>
      <c r="I1" s="39"/>
      <c r="J1" s="39"/>
      <c r="K1" s="39"/>
    </row>
    <row r="2" spans="2:11" ht="20.149999999999999" customHeight="1" thickTop="1" thickBot="1" x14ac:dyDescent="0.35">
      <c r="C2" s="2" t="s">
        <v>1</v>
      </c>
      <c r="D2" s="2"/>
      <c r="E2" s="2"/>
      <c r="G2" s="2" t="s">
        <v>2</v>
      </c>
      <c r="H2" s="2"/>
      <c r="I2" s="2"/>
    </row>
    <row r="3" spans="2:11" ht="14.25" customHeight="1" x14ac:dyDescent="0.3">
      <c r="C3" s="3" t="s">
        <v>3</v>
      </c>
      <c r="D3" s="3"/>
      <c r="E3" s="4">
        <v>150000</v>
      </c>
      <c r="G3" s="5" t="s">
        <v>4</v>
      </c>
      <c r="H3" s="5"/>
      <c r="I3" s="6">
        <f>IF(LoanIsGood,-PMT(InterestRate/PaymentsPerYear,ScheduledNumberOfPayments,LoanAmount),"")</f>
        <v>1294.2429434851008</v>
      </c>
    </row>
    <row r="4" spans="2:11" x14ac:dyDescent="0.3">
      <c r="C4" s="7" t="s">
        <v>5</v>
      </c>
      <c r="D4" s="7"/>
      <c r="E4" s="8">
        <v>9.8000000000000004E-2</v>
      </c>
      <c r="F4" s="1" t="s">
        <v>32</v>
      </c>
      <c r="G4" s="9" t="s">
        <v>6</v>
      </c>
      <c r="H4" s="9"/>
      <c r="I4" s="10">
        <f>IF(LoanIsGood,LoanPeriod*PaymentsPerYear,"")</f>
        <v>360</v>
      </c>
    </row>
    <row r="5" spans="2:11" x14ac:dyDescent="0.3">
      <c r="C5" s="7" t="s">
        <v>7</v>
      </c>
      <c r="D5" s="7"/>
      <c r="E5" s="11">
        <v>30</v>
      </c>
      <c r="G5" s="9" t="s">
        <v>8</v>
      </c>
      <c r="H5" s="9"/>
      <c r="I5" s="10">
        <f>ActualNumberOfPayments</f>
        <v>360</v>
      </c>
      <c r="J5" s="12" t="s">
        <v>30</v>
      </c>
      <c r="K5" s="12"/>
    </row>
    <row r="6" spans="2:11" x14ac:dyDescent="0.3">
      <c r="C6" s="7" t="s">
        <v>9</v>
      </c>
      <c r="D6" s="7"/>
      <c r="E6" s="13">
        <v>12</v>
      </c>
      <c r="G6" s="9" t="s">
        <v>10</v>
      </c>
      <c r="H6" s="9"/>
      <c r="I6" s="14">
        <f>TotalEarlyPayments</f>
        <v>0</v>
      </c>
    </row>
    <row r="7" spans="2:11" x14ac:dyDescent="0.3">
      <c r="C7" s="35" t="s">
        <v>11</v>
      </c>
      <c r="D7" s="35"/>
      <c r="E7" s="36">
        <v>43374</v>
      </c>
      <c r="G7" s="9" t="s">
        <v>12</v>
      </c>
      <c r="H7" s="9"/>
      <c r="I7" s="14">
        <f>TotalInterest</f>
        <v>315927.45965463738</v>
      </c>
    </row>
    <row r="8" spans="2:11" x14ac:dyDescent="0.3">
      <c r="C8" s="37"/>
      <c r="D8" s="37"/>
      <c r="E8" s="38"/>
      <c r="G8" s="18" t="s">
        <v>27</v>
      </c>
      <c r="H8" s="18"/>
      <c r="I8" s="19">
        <f>LoanAmount*0.0052/12</f>
        <v>65</v>
      </c>
    </row>
    <row r="9" spans="2:11" x14ac:dyDescent="0.3">
      <c r="C9" s="37"/>
      <c r="D9" s="37"/>
      <c r="E9" s="38"/>
      <c r="G9" s="18" t="s">
        <v>28</v>
      </c>
      <c r="H9" s="18"/>
      <c r="I9" s="19">
        <f>LoanAmount*0.01/12</f>
        <v>125</v>
      </c>
      <c r="J9" s="12" t="s">
        <v>31</v>
      </c>
      <c r="K9" s="12"/>
    </row>
    <row r="10" spans="2:11" x14ac:dyDescent="0.3">
      <c r="C10" s="37"/>
      <c r="D10" s="37"/>
      <c r="E10" s="38"/>
      <c r="G10" s="18" t="s">
        <v>25</v>
      </c>
      <c r="H10" s="20">
        <v>3200</v>
      </c>
      <c r="I10" s="19">
        <f>H10/12</f>
        <v>266.66666666666669</v>
      </c>
    </row>
    <row r="11" spans="2:11" x14ac:dyDescent="0.3">
      <c r="C11" s="37"/>
      <c r="D11" s="37"/>
      <c r="E11" s="38"/>
      <c r="G11" s="21" t="s">
        <v>26</v>
      </c>
      <c r="H11" s="21"/>
      <c r="I11" s="22">
        <f>ScheduledPayment+I8+I9+I10</f>
        <v>1750.9096101517675</v>
      </c>
    </row>
    <row r="13" spans="2:11" x14ac:dyDescent="0.3">
      <c r="B13" s="23"/>
      <c r="C13" s="24" t="s">
        <v>13</v>
      </c>
      <c r="D13" s="24"/>
      <c r="E13" s="25">
        <v>0</v>
      </c>
      <c r="G13" s="26" t="s">
        <v>14</v>
      </c>
      <c r="H13" s="27"/>
      <c r="I13" s="27"/>
    </row>
    <row r="14" spans="2:11" x14ac:dyDescent="0.3">
      <c r="G14" s="1" t="s">
        <v>29</v>
      </c>
    </row>
    <row r="15" spans="2:11" ht="35.15" customHeight="1" x14ac:dyDescent="0.3">
      <c r="B15" s="28" t="s">
        <v>15</v>
      </c>
      <c r="C15" s="28" t="s">
        <v>16</v>
      </c>
      <c r="D15" s="29" t="s">
        <v>17</v>
      </c>
      <c r="E15" s="29" t="s">
        <v>18</v>
      </c>
      <c r="F15" s="29" t="s">
        <v>19</v>
      </c>
      <c r="G15" s="29" t="s">
        <v>20</v>
      </c>
      <c r="H15" s="29" t="s">
        <v>21</v>
      </c>
      <c r="I15" s="29" t="s">
        <v>22</v>
      </c>
      <c r="J15" s="29" t="s">
        <v>23</v>
      </c>
      <c r="K15" s="29" t="s">
        <v>24</v>
      </c>
    </row>
    <row r="16" spans="2:11" x14ac:dyDescent="0.3">
      <c r="B16" s="30">
        <f>IF(LoanIsGood,IF(ROW()-ROW(PaymentSchedule45[[#Headers],[PMT NO]])&gt;ScheduledNumberOfPayments,"",ROW()-ROW(PaymentSchedule45[[#Headers],[PMT NO]])),"")</f>
        <v>1</v>
      </c>
      <c r="C16" s="31">
        <f>IF(PaymentSchedule45[[#This Row],[PMT NO]]&lt;&gt;"",EOMONTH(LoanStartDate,ROW(PaymentSchedule45[[#This Row],[PMT NO]])-ROW(PaymentSchedule45[[#Headers],[PMT NO]])-2)+DAY(LoanStartDate),"")</f>
        <v>43374</v>
      </c>
      <c r="D16" s="32">
        <f>IF(PaymentSchedule45[[#This Row],[PMT NO]]&lt;&gt;"",IF(ROW()-ROW(PaymentSchedule45[[#Headers],[BEGINNING BALANCE]])=1,LoanAmount,INDEX(PaymentSchedule45[ENDING BALANCE],ROW()-ROW(PaymentSchedule45[[#Headers],[BEGINNING BALANCE]])-1)),"")</f>
        <v>150000</v>
      </c>
      <c r="E16" s="32">
        <f>IF(PaymentSchedule45[[#This Row],[PMT NO]]&lt;&gt;"",ScheduledPayment,"")</f>
        <v>1294.2429434851008</v>
      </c>
      <c r="F1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6" s="32">
        <f>IF(PaymentSchedule45[[#This Row],[PMT NO]]&lt;&gt;"",PaymentSchedule45[[#This Row],[TOTAL PAYMENT]]-PaymentSchedule45[[#This Row],[INTEREST]],"")</f>
        <v>69.242943485100568</v>
      </c>
      <c r="I16" s="32">
        <f>IF(PaymentSchedule45[[#This Row],[PMT NO]]&lt;&gt;"",PaymentSchedule45[[#This Row],[BEGINNING BALANCE]]*(InterestRate/PaymentsPerYear),"")</f>
        <v>1225.0000000000002</v>
      </c>
      <c r="J1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149930.75705651491</v>
      </c>
      <c r="K16" s="32">
        <f>IF(PaymentSchedule45[[#This Row],[PMT NO]]&lt;&gt;"",SUM(INDEX(PaymentSchedule45[INTEREST],1,1):PaymentSchedule45[[#This Row],[INTEREST]]),"")</f>
        <v>1225.0000000000002</v>
      </c>
    </row>
    <row r="17" spans="2:11" x14ac:dyDescent="0.3">
      <c r="B17" s="30">
        <f>IF(LoanIsGood,IF(ROW()-ROW(PaymentSchedule45[[#Headers],[PMT NO]])&gt;ScheduledNumberOfPayments,"",ROW()-ROW(PaymentSchedule45[[#Headers],[PMT NO]])),"")</f>
        <v>2</v>
      </c>
      <c r="C17" s="31">
        <f>IF(PaymentSchedule45[[#This Row],[PMT NO]]&lt;&gt;"",EOMONTH(LoanStartDate,ROW(PaymentSchedule45[[#This Row],[PMT NO]])-ROW(PaymentSchedule45[[#Headers],[PMT NO]])-2)+DAY(LoanStartDate),"")</f>
        <v>43405</v>
      </c>
      <c r="D17" s="32">
        <f>IF(PaymentSchedule45[[#This Row],[PMT NO]]&lt;&gt;"",IF(ROW()-ROW(PaymentSchedule45[[#Headers],[BEGINNING BALANCE]])=1,LoanAmount,INDEX(PaymentSchedule45[ENDING BALANCE],ROW()-ROW(PaymentSchedule45[[#Headers],[BEGINNING BALANCE]])-1)),"")</f>
        <v>149930.75705651491</v>
      </c>
      <c r="E17" s="32">
        <f>IF(PaymentSchedule45[[#This Row],[PMT NO]]&lt;&gt;"",ScheduledPayment,"")</f>
        <v>1294.2429434851008</v>
      </c>
      <c r="F1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7" s="32">
        <f>IF(PaymentSchedule45[[#This Row],[PMT NO]]&lt;&gt;"",PaymentSchedule45[[#This Row],[TOTAL PAYMENT]]-PaymentSchedule45[[#This Row],[INTEREST]],"")</f>
        <v>69.808427523562159</v>
      </c>
      <c r="I17" s="32">
        <f>IF(PaymentSchedule45[[#This Row],[PMT NO]]&lt;&gt;"",PaymentSchedule45[[#This Row],[BEGINNING BALANCE]]*(InterestRate/PaymentsPerYear),"")</f>
        <v>1224.4345159615386</v>
      </c>
      <c r="J1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149860.94862899135</v>
      </c>
      <c r="K17" s="32">
        <f>IF(PaymentSchedule45[[#This Row],[PMT NO]]&lt;&gt;"",SUM(INDEX(PaymentSchedule45[INTEREST],1,1):PaymentSchedule45[[#This Row],[INTEREST]]),"")</f>
        <v>2449.4345159615386</v>
      </c>
    </row>
    <row r="18" spans="2:11" x14ac:dyDescent="0.3">
      <c r="B18" s="30">
        <f>IF(LoanIsGood,IF(ROW()-ROW(PaymentSchedule45[[#Headers],[PMT NO]])&gt;ScheduledNumberOfPayments,"",ROW()-ROW(PaymentSchedule45[[#Headers],[PMT NO]])),"")</f>
        <v>3</v>
      </c>
      <c r="C18" s="31">
        <f>IF(PaymentSchedule45[[#This Row],[PMT NO]]&lt;&gt;"",EOMONTH(LoanStartDate,ROW(PaymentSchedule45[[#This Row],[PMT NO]])-ROW(PaymentSchedule45[[#Headers],[PMT NO]])-2)+DAY(LoanStartDate),"")</f>
        <v>43435</v>
      </c>
      <c r="D18" s="32">
        <f>IF(PaymentSchedule45[[#This Row],[PMT NO]]&lt;&gt;"",IF(ROW()-ROW(PaymentSchedule45[[#Headers],[BEGINNING BALANCE]])=1,LoanAmount,INDEX(PaymentSchedule45[ENDING BALANCE],ROW()-ROW(PaymentSchedule45[[#Headers],[BEGINNING BALANCE]])-1)),"")</f>
        <v>149860.94862899135</v>
      </c>
      <c r="E18" s="32">
        <f>IF(PaymentSchedule45[[#This Row],[PMT NO]]&lt;&gt;"",ScheduledPayment,"")</f>
        <v>1294.2429434851008</v>
      </c>
      <c r="F1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8" s="32">
        <f>IF(PaymentSchedule45[[#This Row],[PMT NO]]&lt;&gt;"",PaymentSchedule45[[#This Row],[TOTAL PAYMENT]]-PaymentSchedule45[[#This Row],[INTEREST]],"")</f>
        <v>70.378529681671353</v>
      </c>
      <c r="I18" s="32">
        <f>IF(PaymentSchedule45[[#This Row],[PMT NO]]&lt;&gt;"",PaymentSchedule45[[#This Row],[BEGINNING BALANCE]]*(InterestRate/PaymentsPerYear),"")</f>
        <v>1223.8644138034294</v>
      </c>
      <c r="J1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149790.57009930967</v>
      </c>
      <c r="K18" s="32">
        <f>IF(PaymentSchedule45[[#This Row],[PMT NO]]&lt;&gt;"",SUM(INDEX(PaymentSchedule45[INTEREST],1,1):PaymentSchedule45[[#This Row],[INTEREST]]),"")</f>
        <v>3673.2989297649683</v>
      </c>
    </row>
    <row r="19" spans="2:11" x14ac:dyDescent="0.3">
      <c r="B19" s="30">
        <f>IF(LoanIsGood,IF(ROW()-ROW(PaymentSchedule45[[#Headers],[PMT NO]])&gt;ScheduledNumberOfPayments,"",ROW()-ROW(PaymentSchedule45[[#Headers],[PMT NO]])),"")</f>
        <v>4</v>
      </c>
      <c r="C19" s="31">
        <f>IF(PaymentSchedule45[[#This Row],[PMT NO]]&lt;&gt;"",EOMONTH(LoanStartDate,ROW(PaymentSchedule45[[#This Row],[PMT NO]])-ROW(PaymentSchedule45[[#Headers],[PMT NO]])-2)+DAY(LoanStartDate),"")</f>
        <v>43466</v>
      </c>
      <c r="D19" s="32">
        <f>IF(PaymentSchedule45[[#This Row],[PMT NO]]&lt;&gt;"",IF(ROW()-ROW(PaymentSchedule45[[#Headers],[BEGINNING BALANCE]])=1,LoanAmount,INDEX(PaymentSchedule45[ENDING BALANCE],ROW()-ROW(PaymentSchedule45[[#Headers],[BEGINNING BALANCE]])-1)),"")</f>
        <v>149790.57009930967</v>
      </c>
      <c r="E19" s="32">
        <f>IF(PaymentSchedule45[[#This Row],[PMT NO]]&lt;&gt;"",ScheduledPayment,"")</f>
        <v>1294.2429434851008</v>
      </c>
      <c r="F1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9" s="32">
        <f>IF(PaymentSchedule45[[#This Row],[PMT NO]]&lt;&gt;"",PaymentSchedule45[[#This Row],[TOTAL PAYMENT]]-PaymentSchedule45[[#This Row],[INTEREST]],"")</f>
        <v>70.953287674071589</v>
      </c>
      <c r="I19" s="32">
        <f>IF(PaymentSchedule45[[#This Row],[PMT NO]]&lt;&gt;"",PaymentSchedule45[[#This Row],[BEGINNING BALANCE]]*(InterestRate/PaymentsPerYear),"")</f>
        <v>1223.2896558110292</v>
      </c>
      <c r="J1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149719.61681163558</v>
      </c>
      <c r="K19" s="32">
        <f>IF(PaymentSchedule45[[#This Row],[PMT NO]]&lt;&gt;"",SUM(INDEX(PaymentSchedule45[INTEREST],1,1):PaymentSchedule45[[#This Row],[INTEREST]]),"")</f>
        <v>4896.5885855759971</v>
      </c>
    </row>
    <row r="20" spans="2:11" x14ac:dyDescent="0.3">
      <c r="B20" s="30">
        <f>IF(LoanIsGood,IF(ROW()-ROW(PaymentSchedule45[[#Headers],[PMT NO]])&gt;ScheduledNumberOfPayments,"",ROW()-ROW(PaymentSchedule45[[#Headers],[PMT NO]])),"")</f>
        <v>5</v>
      </c>
      <c r="C20" s="31">
        <f>IF(PaymentSchedule45[[#This Row],[PMT NO]]&lt;&gt;"",EOMONTH(LoanStartDate,ROW(PaymentSchedule45[[#This Row],[PMT NO]])-ROW(PaymentSchedule45[[#Headers],[PMT NO]])-2)+DAY(LoanStartDate),"")</f>
        <v>43497</v>
      </c>
      <c r="D20" s="32">
        <f>IF(PaymentSchedule45[[#This Row],[PMT NO]]&lt;&gt;"",IF(ROW()-ROW(PaymentSchedule45[[#Headers],[BEGINNING BALANCE]])=1,LoanAmount,INDEX(PaymentSchedule45[ENDING BALANCE],ROW()-ROW(PaymentSchedule45[[#Headers],[BEGINNING BALANCE]])-1)),"")</f>
        <v>149719.61681163558</v>
      </c>
      <c r="E20" s="32">
        <f>IF(PaymentSchedule45[[#This Row],[PMT NO]]&lt;&gt;"",ScheduledPayment,"")</f>
        <v>1294.2429434851008</v>
      </c>
      <c r="F2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0" s="32">
        <f>IF(PaymentSchedule45[[#This Row],[PMT NO]]&lt;&gt;"",PaymentSchedule45[[#This Row],[TOTAL PAYMENT]]-PaymentSchedule45[[#This Row],[INTEREST]],"")</f>
        <v>71.5327395234101</v>
      </c>
      <c r="I20" s="32">
        <f>IF(PaymentSchedule45[[#This Row],[PMT NO]]&lt;&gt;"",PaymentSchedule45[[#This Row],[BEGINNING BALANCE]]*(InterestRate/PaymentsPerYear),"")</f>
        <v>1222.7102039616907</v>
      </c>
      <c r="J2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149648.08407211216</v>
      </c>
      <c r="K20" s="32">
        <f>IF(PaymentSchedule45[[#This Row],[PMT NO]]&lt;&gt;"",SUM(INDEX(PaymentSchedule45[INTEREST],1,1):PaymentSchedule45[[#This Row],[INTEREST]]),"")</f>
        <v>6119.2987895376882</v>
      </c>
    </row>
    <row r="21" spans="2:11" x14ac:dyDescent="0.3">
      <c r="B21" s="30">
        <f>IF(LoanIsGood,IF(ROW()-ROW(PaymentSchedule45[[#Headers],[PMT NO]])&gt;ScheduledNumberOfPayments,"",ROW()-ROW(PaymentSchedule45[[#Headers],[PMT NO]])),"")</f>
        <v>6</v>
      </c>
      <c r="C21" s="31">
        <f>IF(PaymentSchedule45[[#This Row],[PMT NO]]&lt;&gt;"",EOMONTH(LoanStartDate,ROW(PaymentSchedule45[[#This Row],[PMT NO]])-ROW(PaymentSchedule45[[#Headers],[PMT NO]])-2)+DAY(LoanStartDate),"")</f>
        <v>43525</v>
      </c>
      <c r="D21" s="32">
        <f>IF(PaymentSchedule45[[#This Row],[PMT NO]]&lt;&gt;"",IF(ROW()-ROW(PaymentSchedule45[[#Headers],[BEGINNING BALANCE]])=1,LoanAmount,INDEX(PaymentSchedule45[ENDING BALANCE],ROW()-ROW(PaymentSchedule45[[#Headers],[BEGINNING BALANCE]])-1)),"")</f>
        <v>149648.08407211216</v>
      </c>
      <c r="E21" s="32">
        <f>IF(PaymentSchedule45[[#This Row],[PMT NO]]&lt;&gt;"",ScheduledPayment,"")</f>
        <v>1294.2429434851008</v>
      </c>
      <c r="F2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1" s="32">
        <f>IF(PaymentSchedule45[[#This Row],[PMT NO]]&lt;&gt;"",PaymentSchedule45[[#This Row],[TOTAL PAYMENT]]-PaymentSchedule45[[#This Row],[INTEREST]],"")</f>
        <v>72.116923562851298</v>
      </c>
      <c r="I21" s="32">
        <f>IF(PaymentSchedule45[[#This Row],[PMT NO]]&lt;&gt;"",PaymentSchedule45[[#This Row],[BEGINNING BALANCE]]*(InterestRate/PaymentsPerYear),"")</f>
        <v>1222.1260199222495</v>
      </c>
      <c r="J2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149575.9671485493</v>
      </c>
      <c r="K21" s="32">
        <f>IF(PaymentSchedule45[[#This Row],[PMT NO]]&lt;&gt;"",SUM(INDEX(PaymentSchedule45[INTEREST],1,1):PaymentSchedule45[[#This Row],[INTEREST]]),"")</f>
        <v>7341.4248094599379</v>
      </c>
    </row>
    <row r="22" spans="2:11" x14ac:dyDescent="0.3">
      <c r="B22" s="30">
        <f>IF(LoanIsGood,IF(ROW()-ROW(PaymentSchedule45[[#Headers],[PMT NO]])&gt;ScheduledNumberOfPayments,"",ROW()-ROW(PaymentSchedule45[[#Headers],[PMT NO]])),"")</f>
        <v>7</v>
      </c>
      <c r="C22" s="31">
        <f>IF(PaymentSchedule45[[#This Row],[PMT NO]]&lt;&gt;"",EOMONTH(LoanStartDate,ROW(PaymentSchedule45[[#This Row],[PMT NO]])-ROW(PaymentSchedule45[[#Headers],[PMT NO]])-2)+DAY(LoanStartDate),"")</f>
        <v>43556</v>
      </c>
      <c r="D22" s="32">
        <f>IF(PaymentSchedule45[[#This Row],[PMT NO]]&lt;&gt;"",IF(ROW()-ROW(PaymentSchedule45[[#Headers],[BEGINNING BALANCE]])=1,LoanAmount,INDEX(PaymentSchedule45[ENDING BALANCE],ROW()-ROW(PaymentSchedule45[[#Headers],[BEGINNING BALANCE]])-1)),"")</f>
        <v>149575.9671485493</v>
      </c>
      <c r="E22" s="32">
        <f>IF(PaymentSchedule45[[#This Row],[PMT NO]]&lt;&gt;"",ScheduledPayment,"")</f>
        <v>1294.2429434851008</v>
      </c>
      <c r="F2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2" s="32">
        <f>IF(PaymentSchedule45[[#This Row],[PMT NO]]&lt;&gt;"",PaymentSchedule45[[#This Row],[TOTAL PAYMENT]]-PaymentSchedule45[[#This Row],[INTEREST]],"")</f>
        <v>72.705878438614718</v>
      </c>
      <c r="I22" s="32">
        <f>IF(PaymentSchedule45[[#This Row],[PMT NO]]&lt;&gt;"",PaymentSchedule45[[#This Row],[BEGINNING BALANCE]]*(InterestRate/PaymentsPerYear),"")</f>
        <v>1221.5370650464861</v>
      </c>
      <c r="J2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149503.2612701107</v>
      </c>
      <c r="K22" s="32">
        <f>IF(PaymentSchedule45[[#This Row],[PMT NO]]&lt;&gt;"",SUM(INDEX(PaymentSchedule45[INTEREST],1,1):PaymentSchedule45[[#This Row],[INTEREST]]),"")</f>
        <v>8562.9618745064236</v>
      </c>
    </row>
    <row r="23" spans="2:11" x14ac:dyDescent="0.3">
      <c r="B23" s="30">
        <f>IF(LoanIsGood,IF(ROW()-ROW(PaymentSchedule45[[#Headers],[PMT NO]])&gt;ScheduledNumberOfPayments,"",ROW()-ROW(PaymentSchedule45[[#Headers],[PMT NO]])),"")</f>
        <v>8</v>
      </c>
      <c r="C23" s="31">
        <f>IF(PaymentSchedule45[[#This Row],[PMT NO]]&lt;&gt;"",EOMONTH(LoanStartDate,ROW(PaymentSchedule45[[#This Row],[PMT NO]])-ROW(PaymentSchedule45[[#Headers],[PMT NO]])-2)+DAY(LoanStartDate),"")</f>
        <v>43586</v>
      </c>
      <c r="D23" s="32">
        <f>IF(PaymentSchedule45[[#This Row],[PMT NO]]&lt;&gt;"",IF(ROW()-ROW(PaymentSchedule45[[#Headers],[BEGINNING BALANCE]])=1,LoanAmount,INDEX(PaymentSchedule45[ENDING BALANCE],ROW()-ROW(PaymentSchedule45[[#Headers],[BEGINNING BALANCE]])-1)),"")</f>
        <v>149503.2612701107</v>
      </c>
      <c r="E23" s="32">
        <f>IF(PaymentSchedule45[[#This Row],[PMT NO]]&lt;&gt;"",ScheduledPayment,"")</f>
        <v>1294.2429434851008</v>
      </c>
      <c r="F2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3" s="32">
        <f>IF(PaymentSchedule45[[#This Row],[PMT NO]]&lt;&gt;"",PaymentSchedule45[[#This Row],[TOTAL PAYMENT]]-PaymentSchedule45[[#This Row],[INTEREST]],"")</f>
        <v>73.299643112530021</v>
      </c>
      <c r="I23" s="32">
        <f>IF(PaymentSchedule45[[#This Row],[PMT NO]]&lt;&gt;"",PaymentSchedule45[[#This Row],[BEGINNING BALANCE]]*(InterestRate/PaymentsPerYear),"")</f>
        <v>1220.9433003725708</v>
      </c>
      <c r="J2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149429.96162699818</v>
      </c>
      <c r="K23" s="32">
        <f>IF(PaymentSchedule45[[#This Row],[PMT NO]]&lt;&gt;"",SUM(INDEX(PaymentSchedule45[INTEREST],1,1):PaymentSchedule45[[#This Row],[INTEREST]]),"")</f>
        <v>9783.9051748789934</v>
      </c>
    </row>
    <row r="24" spans="2:11" x14ac:dyDescent="0.3">
      <c r="B24" s="30">
        <f>IF(LoanIsGood,IF(ROW()-ROW(PaymentSchedule45[[#Headers],[PMT NO]])&gt;ScheduledNumberOfPayments,"",ROW()-ROW(PaymentSchedule45[[#Headers],[PMT NO]])),"")</f>
        <v>9</v>
      </c>
      <c r="C24" s="31">
        <f>IF(PaymentSchedule45[[#This Row],[PMT NO]]&lt;&gt;"",EOMONTH(LoanStartDate,ROW(PaymentSchedule45[[#This Row],[PMT NO]])-ROW(PaymentSchedule45[[#Headers],[PMT NO]])-2)+DAY(LoanStartDate),"")</f>
        <v>43617</v>
      </c>
      <c r="D24" s="32">
        <f>IF(PaymentSchedule45[[#This Row],[PMT NO]]&lt;&gt;"",IF(ROW()-ROW(PaymentSchedule45[[#Headers],[BEGINNING BALANCE]])=1,LoanAmount,INDEX(PaymentSchedule45[ENDING BALANCE],ROW()-ROW(PaymentSchedule45[[#Headers],[BEGINNING BALANCE]])-1)),"")</f>
        <v>149429.96162699818</v>
      </c>
      <c r="E24" s="32">
        <f>IF(PaymentSchedule45[[#This Row],[PMT NO]]&lt;&gt;"",ScheduledPayment,"")</f>
        <v>1294.2429434851008</v>
      </c>
      <c r="F2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4" s="32">
        <f>IF(PaymentSchedule45[[#This Row],[PMT NO]]&lt;&gt;"",PaymentSchedule45[[#This Row],[TOTAL PAYMENT]]-PaymentSchedule45[[#This Row],[INTEREST]],"")</f>
        <v>73.898256864615632</v>
      </c>
      <c r="I24" s="32">
        <f>IF(PaymentSchedule45[[#This Row],[PMT NO]]&lt;&gt;"",PaymentSchedule45[[#This Row],[BEGINNING BALANCE]]*(InterestRate/PaymentsPerYear),"")</f>
        <v>1220.3446866204852</v>
      </c>
      <c r="J2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149356.06337013358</v>
      </c>
      <c r="K24" s="32">
        <f>IF(PaymentSchedule45[[#This Row],[PMT NO]]&lt;&gt;"",SUM(INDEX(PaymentSchedule45[INTEREST],1,1):PaymentSchedule45[[#This Row],[INTEREST]]),"")</f>
        <v>11004.249861499478</v>
      </c>
    </row>
    <row r="25" spans="2:11" x14ac:dyDescent="0.3">
      <c r="B25" s="30">
        <f>IF(LoanIsGood,IF(ROW()-ROW(PaymentSchedule45[[#Headers],[PMT NO]])&gt;ScheduledNumberOfPayments,"",ROW()-ROW(PaymentSchedule45[[#Headers],[PMT NO]])),"")</f>
        <v>10</v>
      </c>
      <c r="C25" s="31">
        <f>IF(PaymentSchedule45[[#This Row],[PMT NO]]&lt;&gt;"",EOMONTH(LoanStartDate,ROW(PaymentSchedule45[[#This Row],[PMT NO]])-ROW(PaymentSchedule45[[#Headers],[PMT NO]])-2)+DAY(LoanStartDate),"")</f>
        <v>43647</v>
      </c>
      <c r="D25" s="32">
        <f>IF(PaymentSchedule45[[#This Row],[PMT NO]]&lt;&gt;"",IF(ROW()-ROW(PaymentSchedule45[[#Headers],[BEGINNING BALANCE]])=1,LoanAmount,INDEX(PaymentSchedule45[ENDING BALANCE],ROW()-ROW(PaymentSchedule45[[#Headers],[BEGINNING BALANCE]])-1)),"")</f>
        <v>149356.06337013358</v>
      </c>
      <c r="E25" s="32">
        <f>IF(PaymentSchedule45[[#This Row],[PMT NO]]&lt;&gt;"",ScheduledPayment,"")</f>
        <v>1294.2429434851008</v>
      </c>
      <c r="F2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5" s="32">
        <f>IF(PaymentSchedule45[[#This Row],[PMT NO]]&lt;&gt;"",PaymentSchedule45[[#This Row],[TOTAL PAYMENT]]-PaymentSchedule45[[#This Row],[INTEREST]],"")</f>
        <v>74.501759295676493</v>
      </c>
      <c r="I25" s="32">
        <f>IF(PaymentSchedule45[[#This Row],[PMT NO]]&lt;&gt;"",PaymentSchedule45[[#This Row],[BEGINNING BALANCE]]*(InterestRate/PaymentsPerYear),"")</f>
        <v>1219.7411841894243</v>
      </c>
      <c r="J2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149281.5616108379</v>
      </c>
      <c r="K25" s="32">
        <f>IF(PaymentSchedule45[[#This Row],[PMT NO]]&lt;&gt;"",SUM(INDEX(PaymentSchedule45[INTEREST],1,1):PaymentSchedule45[[#This Row],[INTEREST]]),"")</f>
        <v>12223.991045688903</v>
      </c>
    </row>
    <row r="26" spans="2:11" x14ac:dyDescent="0.3">
      <c r="B26" s="30">
        <f>IF(LoanIsGood,IF(ROW()-ROW(PaymentSchedule45[[#Headers],[PMT NO]])&gt;ScheduledNumberOfPayments,"",ROW()-ROW(PaymentSchedule45[[#Headers],[PMT NO]])),"")</f>
        <v>11</v>
      </c>
      <c r="C26" s="31">
        <f>IF(PaymentSchedule45[[#This Row],[PMT NO]]&lt;&gt;"",EOMONTH(LoanStartDate,ROW(PaymentSchedule45[[#This Row],[PMT NO]])-ROW(PaymentSchedule45[[#Headers],[PMT NO]])-2)+DAY(LoanStartDate),"")</f>
        <v>43678</v>
      </c>
      <c r="D26" s="32">
        <f>IF(PaymentSchedule45[[#This Row],[PMT NO]]&lt;&gt;"",IF(ROW()-ROW(PaymentSchedule45[[#Headers],[BEGINNING BALANCE]])=1,LoanAmount,INDEX(PaymentSchedule45[ENDING BALANCE],ROW()-ROW(PaymentSchedule45[[#Headers],[BEGINNING BALANCE]])-1)),"")</f>
        <v>149281.5616108379</v>
      </c>
      <c r="E26" s="32">
        <f>IF(PaymentSchedule45[[#This Row],[PMT NO]]&lt;&gt;"",ScheduledPayment,"")</f>
        <v>1294.2429434851008</v>
      </c>
      <c r="F2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6" s="32">
        <f>IF(PaymentSchedule45[[#This Row],[PMT NO]]&lt;&gt;"",PaymentSchedule45[[#This Row],[TOTAL PAYMENT]]-PaymentSchedule45[[#This Row],[INTEREST]],"")</f>
        <v>75.110190329924535</v>
      </c>
      <c r="I26" s="32">
        <f>IF(PaymentSchedule45[[#This Row],[PMT NO]]&lt;&gt;"",PaymentSchedule45[[#This Row],[BEGINNING BALANCE]]*(InterestRate/PaymentsPerYear),"")</f>
        <v>1219.1327531551763</v>
      </c>
      <c r="J2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149206.45142050798</v>
      </c>
      <c r="K26" s="32">
        <f>IF(PaymentSchedule45[[#This Row],[PMT NO]]&lt;&gt;"",SUM(INDEX(PaymentSchedule45[INTEREST],1,1):PaymentSchedule45[[#This Row],[INTEREST]]),"")</f>
        <v>13443.123798844079</v>
      </c>
    </row>
    <row r="27" spans="2:11" x14ac:dyDescent="0.3">
      <c r="B27" s="30">
        <f>IF(LoanIsGood,IF(ROW()-ROW(PaymentSchedule45[[#Headers],[PMT NO]])&gt;ScheduledNumberOfPayments,"",ROW()-ROW(PaymentSchedule45[[#Headers],[PMT NO]])),"")</f>
        <v>12</v>
      </c>
      <c r="C27" s="31">
        <f>IF(PaymentSchedule45[[#This Row],[PMT NO]]&lt;&gt;"",EOMONTH(LoanStartDate,ROW(PaymentSchedule45[[#This Row],[PMT NO]])-ROW(PaymentSchedule45[[#Headers],[PMT NO]])-2)+DAY(LoanStartDate),"")</f>
        <v>43709</v>
      </c>
      <c r="D27" s="32">
        <f>IF(PaymentSchedule45[[#This Row],[PMT NO]]&lt;&gt;"",IF(ROW()-ROW(PaymentSchedule45[[#Headers],[BEGINNING BALANCE]])=1,LoanAmount,INDEX(PaymentSchedule45[ENDING BALANCE],ROW()-ROW(PaymentSchedule45[[#Headers],[BEGINNING BALANCE]])-1)),"")</f>
        <v>149206.45142050798</v>
      </c>
      <c r="E27" s="32">
        <f>IF(PaymentSchedule45[[#This Row],[PMT NO]]&lt;&gt;"",ScheduledPayment,"")</f>
        <v>1294.2429434851008</v>
      </c>
      <c r="F2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7" s="32">
        <f>IF(PaymentSchedule45[[#This Row],[PMT NO]]&lt;&gt;"",PaymentSchedule45[[#This Row],[TOTAL PAYMENT]]-PaymentSchedule45[[#This Row],[INTEREST]],"")</f>
        <v>75.723590217618948</v>
      </c>
      <c r="I27" s="32">
        <f>IF(PaymentSchedule45[[#This Row],[PMT NO]]&lt;&gt;"",PaymentSchedule45[[#This Row],[BEGINNING BALANCE]]*(InterestRate/PaymentsPerYear),"")</f>
        <v>1218.5193532674818</v>
      </c>
      <c r="J2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149130.72783029036</v>
      </c>
      <c r="K27" s="32">
        <f>IF(PaymentSchedule45[[#This Row],[PMT NO]]&lt;&gt;"",SUM(INDEX(PaymentSchedule45[INTEREST],1,1):PaymentSchedule45[[#This Row],[INTEREST]]),"")</f>
        <v>14661.643152111561</v>
      </c>
    </row>
    <row r="28" spans="2:11" x14ac:dyDescent="0.3">
      <c r="B28" s="30">
        <f>IF(LoanIsGood,IF(ROW()-ROW(PaymentSchedule45[[#Headers],[PMT NO]])&gt;ScheduledNumberOfPayments,"",ROW()-ROW(PaymentSchedule45[[#Headers],[PMT NO]])),"")</f>
        <v>13</v>
      </c>
      <c r="C28" s="31">
        <f>IF(PaymentSchedule45[[#This Row],[PMT NO]]&lt;&gt;"",EOMONTH(LoanStartDate,ROW(PaymentSchedule45[[#This Row],[PMT NO]])-ROW(PaymentSchedule45[[#Headers],[PMT NO]])-2)+DAY(LoanStartDate),"")</f>
        <v>43739</v>
      </c>
      <c r="D28" s="32">
        <f>IF(PaymentSchedule45[[#This Row],[PMT NO]]&lt;&gt;"",IF(ROW()-ROW(PaymentSchedule45[[#Headers],[BEGINNING BALANCE]])=1,LoanAmount,INDEX(PaymentSchedule45[ENDING BALANCE],ROW()-ROW(PaymentSchedule45[[#Headers],[BEGINNING BALANCE]])-1)),"")</f>
        <v>149130.72783029036</v>
      </c>
      <c r="E28" s="32">
        <f>IF(PaymentSchedule45[[#This Row],[PMT NO]]&lt;&gt;"",ScheduledPayment,"")</f>
        <v>1294.2429434851008</v>
      </c>
      <c r="F2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8" s="32">
        <f>IF(PaymentSchedule45[[#This Row],[PMT NO]]&lt;&gt;"",PaymentSchedule45[[#This Row],[TOTAL PAYMENT]]-PaymentSchedule45[[#This Row],[INTEREST]],"")</f>
        <v>76.341999537729407</v>
      </c>
      <c r="I28" s="32">
        <f>IF(PaymentSchedule45[[#This Row],[PMT NO]]&lt;&gt;"",PaymentSchedule45[[#This Row],[BEGINNING BALANCE]]*(InterestRate/PaymentsPerYear),"")</f>
        <v>1217.9009439473714</v>
      </c>
      <c r="J2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149054.38583075264</v>
      </c>
      <c r="K28" s="32">
        <f>IF(PaymentSchedule45[[#This Row],[PMT NO]]&lt;&gt;"",SUM(INDEX(PaymentSchedule45[INTEREST],1,1):PaymentSchedule45[[#This Row],[INTEREST]]),"")</f>
        <v>15879.544096058933</v>
      </c>
    </row>
    <row r="29" spans="2:11" x14ac:dyDescent="0.3">
      <c r="B29" s="30">
        <f>IF(LoanIsGood,IF(ROW()-ROW(PaymentSchedule45[[#Headers],[PMT NO]])&gt;ScheduledNumberOfPayments,"",ROW()-ROW(PaymentSchedule45[[#Headers],[PMT NO]])),"")</f>
        <v>14</v>
      </c>
      <c r="C29" s="31">
        <f>IF(PaymentSchedule45[[#This Row],[PMT NO]]&lt;&gt;"",EOMONTH(LoanStartDate,ROW(PaymentSchedule45[[#This Row],[PMT NO]])-ROW(PaymentSchedule45[[#Headers],[PMT NO]])-2)+DAY(LoanStartDate),"")</f>
        <v>43770</v>
      </c>
      <c r="D29" s="32">
        <f>IF(PaymentSchedule45[[#This Row],[PMT NO]]&lt;&gt;"",IF(ROW()-ROW(PaymentSchedule45[[#Headers],[BEGINNING BALANCE]])=1,LoanAmount,INDEX(PaymentSchedule45[ENDING BALANCE],ROW()-ROW(PaymentSchedule45[[#Headers],[BEGINNING BALANCE]])-1)),"")</f>
        <v>149054.38583075264</v>
      </c>
      <c r="E29" s="32">
        <f>IF(PaymentSchedule45[[#This Row],[PMT NO]]&lt;&gt;"",ScheduledPayment,"")</f>
        <v>1294.2429434851008</v>
      </c>
      <c r="F2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9" s="32">
        <f>IF(PaymentSchedule45[[#This Row],[PMT NO]]&lt;&gt;"",PaymentSchedule45[[#This Row],[TOTAL PAYMENT]]-PaymentSchedule45[[#This Row],[INTEREST]],"")</f>
        <v>76.965459200620671</v>
      </c>
      <c r="I29" s="32">
        <f>IF(PaymentSchedule45[[#This Row],[PMT NO]]&lt;&gt;"",PaymentSchedule45[[#This Row],[BEGINNING BALANCE]]*(InterestRate/PaymentsPerYear),"")</f>
        <v>1217.2774842844801</v>
      </c>
      <c r="J2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148977.42037155203</v>
      </c>
      <c r="K29" s="32">
        <f>IF(PaymentSchedule45[[#This Row],[PMT NO]]&lt;&gt;"",SUM(INDEX(PaymentSchedule45[INTEREST],1,1):PaymentSchedule45[[#This Row],[INTEREST]]),"")</f>
        <v>17096.821580343414</v>
      </c>
    </row>
    <row r="30" spans="2:11" x14ac:dyDescent="0.3">
      <c r="B30" s="30">
        <f>IF(LoanIsGood,IF(ROW()-ROW(PaymentSchedule45[[#Headers],[PMT NO]])&gt;ScheduledNumberOfPayments,"",ROW()-ROW(PaymentSchedule45[[#Headers],[PMT NO]])),"")</f>
        <v>15</v>
      </c>
      <c r="C30" s="31">
        <f>IF(PaymentSchedule45[[#This Row],[PMT NO]]&lt;&gt;"",EOMONTH(LoanStartDate,ROW(PaymentSchedule45[[#This Row],[PMT NO]])-ROW(PaymentSchedule45[[#Headers],[PMT NO]])-2)+DAY(LoanStartDate),"")</f>
        <v>43800</v>
      </c>
      <c r="D30" s="32">
        <f>IF(PaymentSchedule45[[#This Row],[PMT NO]]&lt;&gt;"",IF(ROW()-ROW(PaymentSchedule45[[#Headers],[BEGINNING BALANCE]])=1,LoanAmount,INDEX(PaymentSchedule45[ENDING BALANCE],ROW()-ROW(PaymentSchedule45[[#Headers],[BEGINNING BALANCE]])-1)),"")</f>
        <v>148977.42037155203</v>
      </c>
      <c r="E30" s="32">
        <f>IF(PaymentSchedule45[[#This Row],[PMT NO]]&lt;&gt;"",ScheduledPayment,"")</f>
        <v>1294.2429434851008</v>
      </c>
      <c r="F3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0" s="32">
        <f>IF(PaymentSchedule45[[#This Row],[PMT NO]]&lt;&gt;"",PaymentSchedule45[[#This Row],[TOTAL PAYMENT]]-PaymentSchedule45[[#This Row],[INTEREST]],"")</f>
        <v>77.594010450759015</v>
      </c>
      <c r="I30" s="32">
        <f>IF(PaymentSchedule45[[#This Row],[PMT NO]]&lt;&gt;"",PaymentSchedule45[[#This Row],[BEGINNING BALANCE]]*(InterestRate/PaymentsPerYear),"")</f>
        <v>1216.6489330343418</v>
      </c>
      <c r="J3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148899.82636110127</v>
      </c>
      <c r="K30" s="32">
        <f>IF(PaymentSchedule45[[#This Row],[PMT NO]]&lt;&gt;"",SUM(INDEX(PaymentSchedule45[INTEREST],1,1):PaymentSchedule45[[#This Row],[INTEREST]]),"")</f>
        <v>18313.470513377757</v>
      </c>
    </row>
    <row r="31" spans="2:11" x14ac:dyDescent="0.3">
      <c r="B31" s="30">
        <f>IF(LoanIsGood,IF(ROW()-ROW(PaymentSchedule45[[#Headers],[PMT NO]])&gt;ScheduledNumberOfPayments,"",ROW()-ROW(PaymentSchedule45[[#Headers],[PMT NO]])),"")</f>
        <v>16</v>
      </c>
      <c r="C31" s="31">
        <f>IF(PaymentSchedule45[[#This Row],[PMT NO]]&lt;&gt;"",EOMONTH(LoanStartDate,ROW(PaymentSchedule45[[#This Row],[PMT NO]])-ROW(PaymentSchedule45[[#Headers],[PMT NO]])-2)+DAY(LoanStartDate),"")</f>
        <v>43831</v>
      </c>
      <c r="D31" s="32">
        <f>IF(PaymentSchedule45[[#This Row],[PMT NO]]&lt;&gt;"",IF(ROW()-ROW(PaymentSchedule45[[#Headers],[BEGINNING BALANCE]])=1,LoanAmount,INDEX(PaymentSchedule45[ENDING BALANCE],ROW()-ROW(PaymentSchedule45[[#Headers],[BEGINNING BALANCE]])-1)),"")</f>
        <v>148899.82636110127</v>
      </c>
      <c r="E31" s="32">
        <f>IF(PaymentSchedule45[[#This Row],[PMT NO]]&lt;&gt;"",ScheduledPayment,"")</f>
        <v>1294.2429434851008</v>
      </c>
      <c r="F3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1" s="32">
        <f>IF(PaymentSchedule45[[#This Row],[PMT NO]]&lt;&gt;"",PaymentSchedule45[[#This Row],[TOTAL PAYMENT]]-PaymentSchedule45[[#This Row],[INTEREST]],"")</f>
        <v>78.227694869440256</v>
      </c>
      <c r="I31" s="32">
        <f>IF(PaymentSchedule45[[#This Row],[PMT NO]]&lt;&gt;"",PaymentSchedule45[[#This Row],[BEGINNING BALANCE]]*(InterestRate/PaymentsPerYear),"")</f>
        <v>1216.0152486156605</v>
      </c>
      <c r="J3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148821.59866623182</v>
      </c>
      <c r="K31" s="32">
        <f>IF(PaymentSchedule45[[#This Row],[PMT NO]]&lt;&gt;"",SUM(INDEX(PaymentSchedule45[INTEREST],1,1):PaymentSchedule45[[#This Row],[INTEREST]]),"")</f>
        <v>19529.485761993419</v>
      </c>
    </row>
    <row r="32" spans="2:11" x14ac:dyDescent="0.3">
      <c r="B32" s="30">
        <f>IF(LoanIsGood,IF(ROW()-ROW(PaymentSchedule45[[#Headers],[PMT NO]])&gt;ScheduledNumberOfPayments,"",ROW()-ROW(PaymentSchedule45[[#Headers],[PMT NO]])),"")</f>
        <v>17</v>
      </c>
      <c r="C32" s="31">
        <f>IF(PaymentSchedule45[[#This Row],[PMT NO]]&lt;&gt;"",EOMONTH(LoanStartDate,ROW(PaymentSchedule45[[#This Row],[PMT NO]])-ROW(PaymentSchedule45[[#Headers],[PMT NO]])-2)+DAY(LoanStartDate),"")</f>
        <v>43862</v>
      </c>
      <c r="D32" s="32">
        <f>IF(PaymentSchedule45[[#This Row],[PMT NO]]&lt;&gt;"",IF(ROW()-ROW(PaymentSchedule45[[#Headers],[BEGINNING BALANCE]])=1,LoanAmount,INDEX(PaymentSchedule45[ENDING BALANCE],ROW()-ROW(PaymentSchedule45[[#Headers],[BEGINNING BALANCE]])-1)),"")</f>
        <v>148821.59866623182</v>
      </c>
      <c r="E32" s="32">
        <f>IF(PaymentSchedule45[[#This Row],[PMT NO]]&lt;&gt;"",ScheduledPayment,"")</f>
        <v>1294.2429434851008</v>
      </c>
      <c r="F3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2" s="32">
        <f>IF(PaymentSchedule45[[#This Row],[PMT NO]]&lt;&gt;"",PaymentSchedule45[[#This Row],[TOTAL PAYMENT]]-PaymentSchedule45[[#This Row],[INTEREST]],"")</f>
        <v>78.866554377540751</v>
      </c>
      <c r="I32" s="32">
        <f>IF(PaymentSchedule45[[#This Row],[PMT NO]]&lt;&gt;"",PaymentSchedule45[[#This Row],[BEGINNING BALANCE]]*(InterestRate/PaymentsPerYear),"")</f>
        <v>1215.37638910756</v>
      </c>
      <c r="J3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148742.73211185427</v>
      </c>
      <c r="K32" s="32">
        <f>IF(PaymentSchedule45[[#This Row],[PMT NO]]&lt;&gt;"",SUM(INDEX(PaymentSchedule45[INTEREST],1,1):PaymentSchedule45[[#This Row],[INTEREST]]),"")</f>
        <v>20744.862151100981</v>
      </c>
    </row>
    <row r="33" spans="2:11" x14ac:dyDescent="0.3">
      <c r="B33" s="30">
        <f>IF(LoanIsGood,IF(ROW()-ROW(PaymentSchedule45[[#Headers],[PMT NO]])&gt;ScheduledNumberOfPayments,"",ROW()-ROW(PaymentSchedule45[[#Headers],[PMT NO]])),"")</f>
        <v>18</v>
      </c>
      <c r="C33" s="31">
        <f>IF(PaymentSchedule45[[#This Row],[PMT NO]]&lt;&gt;"",EOMONTH(LoanStartDate,ROW(PaymentSchedule45[[#This Row],[PMT NO]])-ROW(PaymentSchedule45[[#Headers],[PMT NO]])-2)+DAY(LoanStartDate),"")</f>
        <v>43891</v>
      </c>
      <c r="D33" s="32">
        <f>IF(PaymentSchedule45[[#This Row],[PMT NO]]&lt;&gt;"",IF(ROW()-ROW(PaymentSchedule45[[#Headers],[BEGINNING BALANCE]])=1,LoanAmount,INDEX(PaymentSchedule45[ENDING BALANCE],ROW()-ROW(PaymentSchedule45[[#Headers],[BEGINNING BALANCE]])-1)),"")</f>
        <v>148742.73211185427</v>
      </c>
      <c r="E33" s="32">
        <f>IF(PaymentSchedule45[[#This Row],[PMT NO]]&lt;&gt;"",ScheduledPayment,"")</f>
        <v>1294.2429434851008</v>
      </c>
      <c r="F3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3" s="32">
        <f>IF(PaymentSchedule45[[#This Row],[PMT NO]]&lt;&gt;"",PaymentSchedule45[[#This Row],[TOTAL PAYMENT]]-PaymentSchedule45[[#This Row],[INTEREST]],"")</f>
        <v>79.510631238290671</v>
      </c>
      <c r="I33" s="32">
        <f>IF(PaymentSchedule45[[#This Row],[PMT NO]]&lt;&gt;"",PaymentSchedule45[[#This Row],[BEGINNING BALANCE]]*(InterestRate/PaymentsPerYear),"")</f>
        <v>1214.7323122468101</v>
      </c>
      <c r="J3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148663.22148061599</v>
      </c>
      <c r="K33" s="32">
        <f>IF(PaymentSchedule45[[#This Row],[PMT NO]]&lt;&gt;"",SUM(INDEX(PaymentSchedule45[INTEREST],1,1):PaymentSchedule45[[#This Row],[INTEREST]]),"")</f>
        <v>21959.594463347792</v>
      </c>
    </row>
    <row r="34" spans="2:11" x14ac:dyDescent="0.3">
      <c r="B34" s="30">
        <f>IF(LoanIsGood,IF(ROW()-ROW(PaymentSchedule45[[#Headers],[PMT NO]])&gt;ScheduledNumberOfPayments,"",ROW()-ROW(PaymentSchedule45[[#Headers],[PMT NO]])),"")</f>
        <v>19</v>
      </c>
      <c r="C34" s="31">
        <f>IF(PaymentSchedule45[[#This Row],[PMT NO]]&lt;&gt;"",EOMONTH(LoanStartDate,ROW(PaymentSchedule45[[#This Row],[PMT NO]])-ROW(PaymentSchedule45[[#Headers],[PMT NO]])-2)+DAY(LoanStartDate),"")</f>
        <v>43922</v>
      </c>
      <c r="D34" s="32">
        <f>IF(PaymentSchedule45[[#This Row],[PMT NO]]&lt;&gt;"",IF(ROW()-ROW(PaymentSchedule45[[#Headers],[BEGINNING BALANCE]])=1,LoanAmount,INDEX(PaymentSchedule45[ENDING BALANCE],ROW()-ROW(PaymentSchedule45[[#Headers],[BEGINNING BALANCE]])-1)),"")</f>
        <v>148663.22148061599</v>
      </c>
      <c r="E34" s="32">
        <f>IF(PaymentSchedule45[[#This Row],[PMT NO]]&lt;&gt;"",ScheduledPayment,"")</f>
        <v>1294.2429434851008</v>
      </c>
      <c r="F3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4" s="32">
        <f>IF(PaymentSchedule45[[#This Row],[PMT NO]]&lt;&gt;"",PaymentSchedule45[[#This Row],[TOTAL PAYMENT]]-PaymentSchedule45[[#This Row],[INTEREST]],"")</f>
        <v>80.159968060070014</v>
      </c>
      <c r="I34" s="32">
        <f>IF(PaymentSchedule45[[#This Row],[PMT NO]]&lt;&gt;"",PaymentSchedule45[[#This Row],[BEGINNING BALANCE]]*(InterestRate/PaymentsPerYear),"")</f>
        <v>1214.0829754250308</v>
      </c>
      <c r="J3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148583.06151255593</v>
      </c>
      <c r="K34" s="32">
        <f>IF(PaymentSchedule45[[#This Row],[PMT NO]]&lt;&gt;"",SUM(INDEX(PaymentSchedule45[INTEREST],1,1):PaymentSchedule45[[#This Row],[INTEREST]]),"")</f>
        <v>23173.677438772822</v>
      </c>
    </row>
    <row r="35" spans="2:11" x14ac:dyDescent="0.3">
      <c r="B35" s="30">
        <f>IF(LoanIsGood,IF(ROW()-ROW(PaymentSchedule45[[#Headers],[PMT NO]])&gt;ScheduledNumberOfPayments,"",ROW()-ROW(PaymentSchedule45[[#Headers],[PMT NO]])),"")</f>
        <v>20</v>
      </c>
      <c r="C35" s="31">
        <f>IF(PaymentSchedule45[[#This Row],[PMT NO]]&lt;&gt;"",EOMONTH(LoanStartDate,ROW(PaymentSchedule45[[#This Row],[PMT NO]])-ROW(PaymentSchedule45[[#Headers],[PMT NO]])-2)+DAY(LoanStartDate),"")</f>
        <v>43952</v>
      </c>
      <c r="D35" s="32">
        <f>IF(PaymentSchedule45[[#This Row],[PMT NO]]&lt;&gt;"",IF(ROW()-ROW(PaymentSchedule45[[#Headers],[BEGINNING BALANCE]])=1,LoanAmount,INDEX(PaymentSchedule45[ENDING BALANCE],ROW()-ROW(PaymentSchedule45[[#Headers],[BEGINNING BALANCE]])-1)),"")</f>
        <v>148583.06151255593</v>
      </c>
      <c r="E35" s="32">
        <f>IF(PaymentSchedule45[[#This Row],[PMT NO]]&lt;&gt;"",ScheduledPayment,"")</f>
        <v>1294.2429434851008</v>
      </c>
      <c r="F3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5" s="32">
        <f>IF(PaymentSchedule45[[#This Row],[PMT NO]]&lt;&gt;"",PaymentSchedule45[[#This Row],[TOTAL PAYMENT]]-PaymentSchedule45[[#This Row],[INTEREST]],"")</f>
        <v>80.81460779922736</v>
      </c>
      <c r="I35" s="32">
        <f>IF(PaymentSchedule45[[#This Row],[PMT NO]]&lt;&gt;"",PaymentSchedule45[[#This Row],[BEGINNING BALANCE]]*(InterestRate/PaymentsPerYear),"")</f>
        <v>1213.4283356858734</v>
      </c>
      <c r="J3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148502.2469047567</v>
      </c>
      <c r="K35" s="32">
        <f>IF(PaymentSchedule45[[#This Row],[PMT NO]]&lt;&gt;"",SUM(INDEX(PaymentSchedule45[INTEREST],1,1):PaymentSchedule45[[#This Row],[INTEREST]]),"")</f>
        <v>24387.105774458694</v>
      </c>
    </row>
    <row r="36" spans="2:11" x14ac:dyDescent="0.3">
      <c r="B36" s="30">
        <f>IF(LoanIsGood,IF(ROW()-ROW(PaymentSchedule45[[#Headers],[PMT NO]])&gt;ScheduledNumberOfPayments,"",ROW()-ROW(PaymentSchedule45[[#Headers],[PMT NO]])),"")</f>
        <v>21</v>
      </c>
      <c r="C36" s="31">
        <f>IF(PaymentSchedule45[[#This Row],[PMT NO]]&lt;&gt;"",EOMONTH(LoanStartDate,ROW(PaymentSchedule45[[#This Row],[PMT NO]])-ROW(PaymentSchedule45[[#Headers],[PMT NO]])-2)+DAY(LoanStartDate),"")</f>
        <v>43983</v>
      </c>
      <c r="D36" s="32">
        <f>IF(PaymentSchedule45[[#This Row],[PMT NO]]&lt;&gt;"",IF(ROW()-ROW(PaymentSchedule45[[#Headers],[BEGINNING BALANCE]])=1,LoanAmount,INDEX(PaymentSchedule45[ENDING BALANCE],ROW()-ROW(PaymentSchedule45[[#Headers],[BEGINNING BALANCE]])-1)),"")</f>
        <v>148502.2469047567</v>
      </c>
      <c r="E36" s="32">
        <f>IF(PaymentSchedule45[[#This Row],[PMT NO]]&lt;&gt;"",ScheduledPayment,"")</f>
        <v>1294.2429434851008</v>
      </c>
      <c r="F3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6" s="32">
        <f>IF(PaymentSchedule45[[#This Row],[PMT NO]]&lt;&gt;"",PaymentSchedule45[[#This Row],[TOTAL PAYMENT]]-PaymentSchedule45[[#This Row],[INTEREST]],"")</f>
        <v>81.474593762920904</v>
      </c>
      <c r="I36" s="32">
        <f>IF(PaymentSchedule45[[#This Row],[PMT NO]]&lt;&gt;"",PaymentSchedule45[[#This Row],[BEGINNING BALANCE]]*(InterestRate/PaymentsPerYear),"")</f>
        <v>1212.7683497221799</v>
      </c>
      <c r="J3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148420.77231099378</v>
      </c>
      <c r="K36" s="32">
        <f>IF(PaymentSchedule45[[#This Row],[PMT NO]]&lt;&gt;"",SUM(INDEX(PaymentSchedule45[INTEREST],1,1):PaymentSchedule45[[#This Row],[INTEREST]]),"")</f>
        <v>25599.874124180875</v>
      </c>
    </row>
    <row r="37" spans="2:11" x14ac:dyDescent="0.3">
      <c r="B37" s="30">
        <f>IF(LoanIsGood,IF(ROW()-ROW(PaymentSchedule45[[#Headers],[PMT NO]])&gt;ScheduledNumberOfPayments,"",ROW()-ROW(PaymentSchedule45[[#Headers],[PMT NO]])),"")</f>
        <v>22</v>
      </c>
      <c r="C37" s="31">
        <f>IF(PaymentSchedule45[[#This Row],[PMT NO]]&lt;&gt;"",EOMONTH(LoanStartDate,ROW(PaymentSchedule45[[#This Row],[PMT NO]])-ROW(PaymentSchedule45[[#Headers],[PMT NO]])-2)+DAY(LoanStartDate),"")</f>
        <v>44013</v>
      </c>
      <c r="D37" s="32">
        <f>IF(PaymentSchedule45[[#This Row],[PMT NO]]&lt;&gt;"",IF(ROW()-ROW(PaymentSchedule45[[#Headers],[BEGINNING BALANCE]])=1,LoanAmount,INDEX(PaymentSchedule45[ENDING BALANCE],ROW()-ROW(PaymentSchedule45[[#Headers],[BEGINNING BALANCE]])-1)),"")</f>
        <v>148420.77231099378</v>
      </c>
      <c r="E37" s="32">
        <f>IF(PaymentSchedule45[[#This Row],[PMT NO]]&lt;&gt;"",ScheduledPayment,"")</f>
        <v>1294.2429434851008</v>
      </c>
      <c r="F3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7" s="32">
        <f>IF(PaymentSchedule45[[#This Row],[PMT NO]]&lt;&gt;"",PaymentSchedule45[[#This Row],[TOTAL PAYMENT]]-PaymentSchedule45[[#This Row],[INTEREST]],"")</f>
        <v>82.139969611984725</v>
      </c>
      <c r="I37" s="32">
        <f>IF(PaymentSchedule45[[#This Row],[PMT NO]]&lt;&gt;"",PaymentSchedule45[[#This Row],[BEGINNING BALANCE]]*(InterestRate/PaymentsPerYear),"")</f>
        <v>1212.1029738731161</v>
      </c>
      <c r="J3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148338.6323413818</v>
      </c>
      <c r="K37" s="32">
        <f>IF(PaymentSchedule45[[#This Row],[PMT NO]]&lt;&gt;"",SUM(INDEX(PaymentSchedule45[INTEREST],1,1):PaymentSchedule45[[#This Row],[INTEREST]]),"")</f>
        <v>26811.977098053991</v>
      </c>
    </row>
    <row r="38" spans="2:11" x14ac:dyDescent="0.3">
      <c r="B38" s="30">
        <f>IF(LoanIsGood,IF(ROW()-ROW(PaymentSchedule45[[#Headers],[PMT NO]])&gt;ScheduledNumberOfPayments,"",ROW()-ROW(PaymentSchedule45[[#Headers],[PMT NO]])),"")</f>
        <v>23</v>
      </c>
      <c r="C38" s="31">
        <f>IF(PaymentSchedule45[[#This Row],[PMT NO]]&lt;&gt;"",EOMONTH(LoanStartDate,ROW(PaymentSchedule45[[#This Row],[PMT NO]])-ROW(PaymentSchedule45[[#Headers],[PMT NO]])-2)+DAY(LoanStartDate),"")</f>
        <v>44044</v>
      </c>
      <c r="D38" s="32">
        <f>IF(PaymentSchedule45[[#This Row],[PMT NO]]&lt;&gt;"",IF(ROW()-ROW(PaymentSchedule45[[#Headers],[BEGINNING BALANCE]])=1,LoanAmount,INDEX(PaymentSchedule45[ENDING BALANCE],ROW()-ROW(PaymentSchedule45[[#Headers],[BEGINNING BALANCE]])-1)),"")</f>
        <v>148338.6323413818</v>
      </c>
      <c r="E38" s="32">
        <f>IF(PaymentSchedule45[[#This Row],[PMT NO]]&lt;&gt;"",ScheduledPayment,"")</f>
        <v>1294.2429434851008</v>
      </c>
      <c r="F3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8" s="32">
        <f>IF(PaymentSchedule45[[#This Row],[PMT NO]]&lt;&gt;"",PaymentSchedule45[[#This Row],[TOTAL PAYMENT]]-PaymentSchedule45[[#This Row],[INTEREST]],"")</f>
        <v>82.810779363815982</v>
      </c>
      <c r="I38" s="32">
        <f>IF(PaymentSchedule45[[#This Row],[PMT NO]]&lt;&gt;"",PaymentSchedule45[[#This Row],[BEGINNING BALANCE]]*(InterestRate/PaymentsPerYear),"")</f>
        <v>1211.4321641212848</v>
      </c>
      <c r="J3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148255.82156201798</v>
      </c>
      <c r="K38" s="32">
        <f>IF(PaymentSchedule45[[#This Row],[PMT NO]]&lt;&gt;"",SUM(INDEX(PaymentSchedule45[INTEREST],1,1):PaymentSchedule45[[#This Row],[INTEREST]]),"")</f>
        <v>28023.409262175275</v>
      </c>
    </row>
    <row r="39" spans="2:11" x14ac:dyDescent="0.3">
      <c r="B39" s="30">
        <f>IF(LoanIsGood,IF(ROW()-ROW(PaymentSchedule45[[#Headers],[PMT NO]])&gt;ScheduledNumberOfPayments,"",ROW()-ROW(PaymentSchedule45[[#Headers],[PMT NO]])),"")</f>
        <v>24</v>
      </c>
      <c r="C39" s="31">
        <f>IF(PaymentSchedule45[[#This Row],[PMT NO]]&lt;&gt;"",EOMONTH(LoanStartDate,ROW(PaymentSchedule45[[#This Row],[PMT NO]])-ROW(PaymentSchedule45[[#Headers],[PMT NO]])-2)+DAY(LoanStartDate),"")</f>
        <v>44075</v>
      </c>
      <c r="D39" s="32">
        <f>IF(PaymentSchedule45[[#This Row],[PMT NO]]&lt;&gt;"",IF(ROW()-ROW(PaymentSchedule45[[#Headers],[BEGINNING BALANCE]])=1,LoanAmount,INDEX(PaymentSchedule45[ENDING BALANCE],ROW()-ROW(PaymentSchedule45[[#Headers],[BEGINNING BALANCE]])-1)),"")</f>
        <v>148255.82156201798</v>
      </c>
      <c r="E39" s="32">
        <f>IF(PaymentSchedule45[[#This Row],[PMT NO]]&lt;&gt;"",ScheduledPayment,"")</f>
        <v>1294.2429434851008</v>
      </c>
      <c r="F3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9" s="32">
        <f>IF(PaymentSchedule45[[#This Row],[PMT NO]]&lt;&gt;"",PaymentSchedule45[[#This Row],[TOTAL PAYMENT]]-PaymentSchedule45[[#This Row],[INTEREST]],"")</f>
        <v>83.487067395287113</v>
      </c>
      <c r="I39" s="32">
        <f>IF(PaymentSchedule45[[#This Row],[PMT NO]]&lt;&gt;"",PaymentSchedule45[[#This Row],[BEGINNING BALANCE]]*(InterestRate/PaymentsPerYear),"")</f>
        <v>1210.7558760898137</v>
      </c>
      <c r="J3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148172.33449462269</v>
      </c>
      <c r="K39" s="32">
        <f>IF(PaymentSchedule45[[#This Row],[PMT NO]]&lt;&gt;"",SUM(INDEX(PaymentSchedule45[INTEREST],1,1):PaymentSchedule45[[#This Row],[INTEREST]]),"")</f>
        <v>29234.165138265089</v>
      </c>
    </row>
    <row r="40" spans="2:11" x14ac:dyDescent="0.3">
      <c r="B40" s="30">
        <f>IF(LoanIsGood,IF(ROW()-ROW(PaymentSchedule45[[#Headers],[PMT NO]])&gt;ScheduledNumberOfPayments,"",ROW()-ROW(PaymentSchedule45[[#Headers],[PMT NO]])),"")</f>
        <v>25</v>
      </c>
      <c r="C40" s="31">
        <f>IF(PaymentSchedule45[[#This Row],[PMT NO]]&lt;&gt;"",EOMONTH(LoanStartDate,ROW(PaymentSchedule45[[#This Row],[PMT NO]])-ROW(PaymentSchedule45[[#Headers],[PMT NO]])-2)+DAY(LoanStartDate),"")</f>
        <v>44105</v>
      </c>
      <c r="D40" s="32">
        <f>IF(PaymentSchedule45[[#This Row],[PMT NO]]&lt;&gt;"",IF(ROW()-ROW(PaymentSchedule45[[#Headers],[BEGINNING BALANCE]])=1,LoanAmount,INDEX(PaymentSchedule45[ENDING BALANCE],ROW()-ROW(PaymentSchedule45[[#Headers],[BEGINNING BALANCE]])-1)),"")</f>
        <v>148172.33449462269</v>
      </c>
      <c r="E40" s="32">
        <f>IF(PaymentSchedule45[[#This Row],[PMT NO]]&lt;&gt;"",ScheduledPayment,"")</f>
        <v>1294.2429434851008</v>
      </c>
      <c r="F4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4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40" s="32">
        <f>IF(PaymentSchedule45[[#This Row],[PMT NO]]&lt;&gt;"",PaymentSchedule45[[#This Row],[TOTAL PAYMENT]]-PaymentSchedule45[[#This Row],[INTEREST]],"")</f>
        <v>84.168878445682139</v>
      </c>
      <c r="I40" s="32">
        <f>IF(PaymentSchedule45[[#This Row],[PMT NO]]&lt;&gt;"",PaymentSchedule45[[#This Row],[BEGINNING BALANCE]]*(InterestRate/PaymentsPerYear),"")</f>
        <v>1210.0740650394187</v>
      </c>
      <c r="J4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148088.16561617699</v>
      </c>
      <c r="K40" s="32">
        <f>IF(PaymentSchedule45[[#This Row],[PMT NO]]&lt;&gt;"",SUM(INDEX(PaymentSchedule45[INTEREST],1,1):PaymentSchedule45[[#This Row],[INTEREST]]),"")</f>
        <v>30444.239203304507</v>
      </c>
    </row>
    <row r="41" spans="2:11" x14ac:dyDescent="0.3">
      <c r="B41" s="30">
        <f>IF(LoanIsGood,IF(ROW()-ROW(PaymentSchedule45[[#Headers],[PMT NO]])&gt;ScheduledNumberOfPayments,"",ROW()-ROW(PaymentSchedule45[[#Headers],[PMT NO]])),"")</f>
        <v>26</v>
      </c>
      <c r="C41" s="31">
        <f>IF(PaymentSchedule45[[#This Row],[PMT NO]]&lt;&gt;"",EOMONTH(LoanStartDate,ROW(PaymentSchedule45[[#This Row],[PMT NO]])-ROW(PaymentSchedule45[[#Headers],[PMT NO]])-2)+DAY(LoanStartDate),"")</f>
        <v>44136</v>
      </c>
      <c r="D41" s="32">
        <f>IF(PaymentSchedule45[[#This Row],[PMT NO]]&lt;&gt;"",IF(ROW()-ROW(PaymentSchedule45[[#Headers],[BEGINNING BALANCE]])=1,LoanAmount,INDEX(PaymentSchedule45[ENDING BALANCE],ROW()-ROW(PaymentSchedule45[[#Headers],[BEGINNING BALANCE]])-1)),"")</f>
        <v>148088.16561617699</v>
      </c>
      <c r="E41" s="32">
        <f>IF(PaymentSchedule45[[#This Row],[PMT NO]]&lt;&gt;"",ScheduledPayment,"")</f>
        <v>1294.2429434851008</v>
      </c>
      <c r="F4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4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41" s="32">
        <f>IF(PaymentSchedule45[[#This Row],[PMT NO]]&lt;&gt;"",PaymentSchedule45[[#This Row],[TOTAL PAYMENT]]-PaymentSchedule45[[#This Row],[INTEREST]],"")</f>
        <v>84.856257619655253</v>
      </c>
      <c r="I41" s="32">
        <f>IF(PaymentSchedule45[[#This Row],[PMT NO]]&lt;&gt;"",PaymentSchedule45[[#This Row],[BEGINNING BALANCE]]*(InterestRate/PaymentsPerYear),"")</f>
        <v>1209.3866858654455</v>
      </c>
      <c r="J4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148003.30935855734</v>
      </c>
      <c r="K41" s="32">
        <f>IF(PaymentSchedule45[[#This Row],[PMT NO]]&lt;&gt;"",SUM(INDEX(PaymentSchedule45[INTEREST],1,1):PaymentSchedule45[[#This Row],[INTEREST]]),"")</f>
        <v>31653.625889169954</v>
      </c>
    </row>
    <row r="42" spans="2:11" x14ac:dyDescent="0.3">
      <c r="B42" s="30">
        <f>IF(LoanIsGood,IF(ROW()-ROW(PaymentSchedule45[[#Headers],[PMT NO]])&gt;ScheduledNumberOfPayments,"",ROW()-ROW(PaymentSchedule45[[#Headers],[PMT NO]])),"")</f>
        <v>27</v>
      </c>
      <c r="C42" s="31">
        <f>IF(PaymentSchedule45[[#This Row],[PMT NO]]&lt;&gt;"",EOMONTH(LoanStartDate,ROW(PaymentSchedule45[[#This Row],[PMT NO]])-ROW(PaymentSchedule45[[#Headers],[PMT NO]])-2)+DAY(LoanStartDate),"")</f>
        <v>44166</v>
      </c>
      <c r="D42" s="32">
        <f>IF(PaymentSchedule45[[#This Row],[PMT NO]]&lt;&gt;"",IF(ROW()-ROW(PaymentSchedule45[[#Headers],[BEGINNING BALANCE]])=1,LoanAmount,INDEX(PaymentSchedule45[ENDING BALANCE],ROW()-ROW(PaymentSchedule45[[#Headers],[BEGINNING BALANCE]])-1)),"")</f>
        <v>148003.30935855734</v>
      </c>
      <c r="E42" s="32">
        <f>IF(PaymentSchedule45[[#This Row],[PMT NO]]&lt;&gt;"",ScheduledPayment,"")</f>
        <v>1294.2429434851008</v>
      </c>
      <c r="F4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4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42" s="32">
        <f>IF(PaymentSchedule45[[#This Row],[PMT NO]]&lt;&gt;"",PaymentSchedule45[[#This Row],[TOTAL PAYMENT]]-PaymentSchedule45[[#This Row],[INTEREST]],"")</f>
        <v>85.549250390215775</v>
      </c>
      <c r="I42" s="32">
        <f>IF(PaymentSchedule45[[#This Row],[PMT NO]]&lt;&gt;"",PaymentSchedule45[[#This Row],[BEGINNING BALANCE]]*(InterestRate/PaymentsPerYear),"")</f>
        <v>1208.693693094885</v>
      </c>
      <c r="J4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147917.76010816713</v>
      </c>
      <c r="K42" s="32">
        <f>IF(PaymentSchedule45[[#This Row],[PMT NO]]&lt;&gt;"",SUM(INDEX(PaymentSchedule45[INTEREST],1,1):PaymentSchedule45[[#This Row],[INTEREST]]),"")</f>
        <v>32862.319582264841</v>
      </c>
    </row>
    <row r="43" spans="2:11" x14ac:dyDescent="0.3">
      <c r="B43" s="30">
        <f>IF(LoanIsGood,IF(ROW()-ROW(PaymentSchedule45[[#Headers],[PMT NO]])&gt;ScheduledNumberOfPayments,"",ROW()-ROW(PaymentSchedule45[[#Headers],[PMT NO]])),"")</f>
        <v>28</v>
      </c>
      <c r="C43" s="31">
        <f>IF(PaymentSchedule45[[#This Row],[PMT NO]]&lt;&gt;"",EOMONTH(LoanStartDate,ROW(PaymentSchedule45[[#This Row],[PMT NO]])-ROW(PaymentSchedule45[[#Headers],[PMT NO]])-2)+DAY(LoanStartDate),"")</f>
        <v>44197</v>
      </c>
      <c r="D43" s="32">
        <f>IF(PaymentSchedule45[[#This Row],[PMT NO]]&lt;&gt;"",IF(ROW()-ROW(PaymentSchedule45[[#Headers],[BEGINNING BALANCE]])=1,LoanAmount,INDEX(PaymentSchedule45[ENDING BALANCE],ROW()-ROW(PaymentSchedule45[[#Headers],[BEGINNING BALANCE]])-1)),"")</f>
        <v>147917.76010816713</v>
      </c>
      <c r="E43" s="32">
        <f>IF(PaymentSchedule45[[#This Row],[PMT NO]]&lt;&gt;"",ScheduledPayment,"")</f>
        <v>1294.2429434851008</v>
      </c>
      <c r="F4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4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43" s="32">
        <f>IF(PaymentSchedule45[[#This Row],[PMT NO]]&lt;&gt;"",PaymentSchedule45[[#This Row],[TOTAL PAYMENT]]-PaymentSchedule45[[#This Row],[INTEREST]],"")</f>
        <v>86.247902601735859</v>
      </c>
      <c r="I43" s="32">
        <f>IF(PaymentSchedule45[[#This Row],[PMT NO]]&lt;&gt;"",PaymentSchedule45[[#This Row],[BEGINNING BALANCE]]*(InterestRate/PaymentsPerYear),"")</f>
        <v>1207.9950408833649</v>
      </c>
      <c r="J4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147831.51220556541</v>
      </c>
      <c r="K43" s="32">
        <f>IF(PaymentSchedule45[[#This Row],[PMT NO]]&lt;&gt;"",SUM(INDEX(PaymentSchedule45[INTEREST],1,1):PaymentSchedule45[[#This Row],[INTEREST]]),"")</f>
        <v>34070.31462314821</v>
      </c>
    </row>
    <row r="44" spans="2:11" x14ac:dyDescent="0.3">
      <c r="B44" s="30">
        <f>IF(LoanIsGood,IF(ROW()-ROW(PaymentSchedule45[[#Headers],[PMT NO]])&gt;ScheduledNumberOfPayments,"",ROW()-ROW(PaymentSchedule45[[#Headers],[PMT NO]])),"")</f>
        <v>29</v>
      </c>
      <c r="C44" s="31">
        <f>IF(PaymentSchedule45[[#This Row],[PMT NO]]&lt;&gt;"",EOMONTH(LoanStartDate,ROW(PaymentSchedule45[[#This Row],[PMT NO]])-ROW(PaymentSchedule45[[#Headers],[PMT NO]])-2)+DAY(LoanStartDate),"")</f>
        <v>44228</v>
      </c>
      <c r="D44" s="32">
        <f>IF(PaymentSchedule45[[#This Row],[PMT NO]]&lt;&gt;"",IF(ROW()-ROW(PaymentSchedule45[[#Headers],[BEGINNING BALANCE]])=1,LoanAmount,INDEX(PaymentSchedule45[ENDING BALANCE],ROW()-ROW(PaymentSchedule45[[#Headers],[BEGINNING BALANCE]])-1)),"")</f>
        <v>147831.51220556541</v>
      </c>
      <c r="E44" s="32">
        <f>IF(PaymentSchedule45[[#This Row],[PMT NO]]&lt;&gt;"",ScheduledPayment,"")</f>
        <v>1294.2429434851008</v>
      </c>
      <c r="F4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4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44" s="32">
        <f>IF(PaymentSchedule45[[#This Row],[PMT NO]]&lt;&gt;"",PaymentSchedule45[[#This Row],[TOTAL PAYMENT]]-PaymentSchedule45[[#This Row],[INTEREST]],"")</f>
        <v>86.952260472983198</v>
      </c>
      <c r="I44" s="32">
        <f>IF(PaymentSchedule45[[#This Row],[PMT NO]]&lt;&gt;"",PaymentSchedule45[[#This Row],[BEGINNING BALANCE]]*(InterestRate/PaymentsPerYear),"")</f>
        <v>1207.2906830121176</v>
      </c>
      <c r="J4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147744.55994509242</v>
      </c>
      <c r="K44" s="32">
        <f>IF(PaymentSchedule45[[#This Row],[PMT NO]]&lt;&gt;"",SUM(INDEX(PaymentSchedule45[INTEREST],1,1):PaymentSchedule45[[#This Row],[INTEREST]]),"")</f>
        <v>35277.605306160331</v>
      </c>
    </row>
    <row r="45" spans="2:11" x14ac:dyDescent="0.3">
      <c r="B45" s="30">
        <f>IF(LoanIsGood,IF(ROW()-ROW(PaymentSchedule45[[#Headers],[PMT NO]])&gt;ScheduledNumberOfPayments,"",ROW()-ROW(PaymentSchedule45[[#Headers],[PMT NO]])),"")</f>
        <v>30</v>
      </c>
      <c r="C45" s="31">
        <f>IF(PaymentSchedule45[[#This Row],[PMT NO]]&lt;&gt;"",EOMONTH(LoanStartDate,ROW(PaymentSchedule45[[#This Row],[PMT NO]])-ROW(PaymentSchedule45[[#Headers],[PMT NO]])-2)+DAY(LoanStartDate),"")</f>
        <v>44256</v>
      </c>
      <c r="D45" s="32">
        <f>IF(PaymentSchedule45[[#This Row],[PMT NO]]&lt;&gt;"",IF(ROW()-ROW(PaymentSchedule45[[#Headers],[BEGINNING BALANCE]])=1,LoanAmount,INDEX(PaymentSchedule45[ENDING BALANCE],ROW()-ROW(PaymentSchedule45[[#Headers],[BEGINNING BALANCE]])-1)),"")</f>
        <v>147744.55994509242</v>
      </c>
      <c r="E45" s="32">
        <f>IF(PaymentSchedule45[[#This Row],[PMT NO]]&lt;&gt;"",ScheduledPayment,"")</f>
        <v>1294.2429434851008</v>
      </c>
      <c r="F4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4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45" s="32">
        <f>IF(PaymentSchedule45[[#This Row],[PMT NO]]&lt;&gt;"",PaymentSchedule45[[#This Row],[TOTAL PAYMENT]]-PaymentSchedule45[[#This Row],[INTEREST]],"")</f>
        <v>87.662370600179202</v>
      </c>
      <c r="I45" s="32">
        <f>IF(PaymentSchedule45[[#This Row],[PMT NO]]&lt;&gt;"",PaymentSchedule45[[#This Row],[BEGINNING BALANCE]]*(InterestRate/PaymentsPerYear),"")</f>
        <v>1206.5805728849216</v>
      </c>
      <c r="J4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147656.89757449224</v>
      </c>
      <c r="K45" s="32">
        <f>IF(PaymentSchedule45[[#This Row],[PMT NO]]&lt;&gt;"",SUM(INDEX(PaymentSchedule45[INTEREST],1,1):PaymentSchedule45[[#This Row],[INTEREST]]),"")</f>
        <v>36484.185879045253</v>
      </c>
    </row>
    <row r="46" spans="2:11" x14ac:dyDescent="0.3">
      <c r="B46" s="30">
        <f>IF(LoanIsGood,IF(ROW()-ROW(PaymentSchedule45[[#Headers],[PMT NO]])&gt;ScheduledNumberOfPayments,"",ROW()-ROW(PaymentSchedule45[[#Headers],[PMT NO]])),"")</f>
        <v>31</v>
      </c>
      <c r="C46" s="31">
        <f>IF(PaymentSchedule45[[#This Row],[PMT NO]]&lt;&gt;"",EOMONTH(LoanStartDate,ROW(PaymentSchedule45[[#This Row],[PMT NO]])-ROW(PaymentSchedule45[[#Headers],[PMT NO]])-2)+DAY(LoanStartDate),"")</f>
        <v>44287</v>
      </c>
      <c r="D46" s="32">
        <f>IF(PaymentSchedule45[[#This Row],[PMT NO]]&lt;&gt;"",IF(ROW()-ROW(PaymentSchedule45[[#Headers],[BEGINNING BALANCE]])=1,LoanAmount,INDEX(PaymentSchedule45[ENDING BALANCE],ROW()-ROW(PaymentSchedule45[[#Headers],[BEGINNING BALANCE]])-1)),"")</f>
        <v>147656.89757449224</v>
      </c>
      <c r="E46" s="32">
        <f>IF(PaymentSchedule45[[#This Row],[PMT NO]]&lt;&gt;"",ScheduledPayment,"")</f>
        <v>1294.2429434851008</v>
      </c>
      <c r="F4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4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46" s="32">
        <f>IF(PaymentSchedule45[[#This Row],[PMT NO]]&lt;&gt;"",PaymentSchedule45[[#This Row],[TOTAL PAYMENT]]-PaymentSchedule45[[#This Row],[INTEREST]],"")</f>
        <v>88.378279960080818</v>
      </c>
      <c r="I46" s="32">
        <f>IF(PaymentSchedule45[[#This Row],[PMT NO]]&lt;&gt;"",PaymentSchedule45[[#This Row],[BEGINNING BALANCE]]*(InterestRate/PaymentsPerYear),"")</f>
        <v>1205.86466352502</v>
      </c>
      <c r="J4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147568.51929453216</v>
      </c>
      <c r="K46" s="32">
        <f>IF(PaymentSchedule45[[#This Row],[PMT NO]]&lt;&gt;"",SUM(INDEX(PaymentSchedule45[INTEREST],1,1):PaymentSchedule45[[#This Row],[INTEREST]]),"")</f>
        <v>37690.050542570272</v>
      </c>
    </row>
    <row r="47" spans="2:11" x14ac:dyDescent="0.3">
      <c r="B47" s="30">
        <f>IF(LoanIsGood,IF(ROW()-ROW(PaymentSchedule45[[#Headers],[PMT NO]])&gt;ScheduledNumberOfPayments,"",ROW()-ROW(PaymentSchedule45[[#Headers],[PMT NO]])),"")</f>
        <v>32</v>
      </c>
      <c r="C47" s="31">
        <f>IF(PaymentSchedule45[[#This Row],[PMT NO]]&lt;&gt;"",EOMONTH(LoanStartDate,ROW(PaymentSchedule45[[#This Row],[PMT NO]])-ROW(PaymentSchedule45[[#Headers],[PMT NO]])-2)+DAY(LoanStartDate),"")</f>
        <v>44317</v>
      </c>
      <c r="D47" s="32">
        <f>IF(PaymentSchedule45[[#This Row],[PMT NO]]&lt;&gt;"",IF(ROW()-ROW(PaymentSchedule45[[#Headers],[BEGINNING BALANCE]])=1,LoanAmount,INDEX(PaymentSchedule45[ENDING BALANCE],ROW()-ROW(PaymentSchedule45[[#Headers],[BEGINNING BALANCE]])-1)),"")</f>
        <v>147568.51929453216</v>
      </c>
      <c r="E47" s="32">
        <f>IF(PaymentSchedule45[[#This Row],[PMT NO]]&lt;&gt;"",ScheduledPayment,"")</f>
        <v>1294.2429434851008</v>
      </c>
      <c r="F4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4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47" s="32">
        <f>IF(PaymentSchedule45[[#This Row],[PMT NO]]&lt;&gt;"",PaymentSchedule45[[#This Row],[TOTAL PAYMENT]]-PaymentSchedule45[[#This Row],[INTEREST]],"")</f>
        <v>89.10003591308805</v>
      </c>
      <c r="I47" s="32">
        <f>IF(PaymentSchedule45[[#This Row],[PMT NO]]&lt;&gt;"",PaymentSchedule45[[#This Row],[BEGINNING BALANCE]]*(InterestRate/PaymentsPerYear),"")</f>
        <v>1205.1429075720127</v>
      </c>
      <c r="J4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147479.41925861908</v>
      </c>
      <c r="K47" s="32">
        <f>IF(PaymentSchedule45[[#This Row],[PMT NO]]&lt;&gt;"",SUM(INDEX(PaymentSchedule45[INTEREST],1,1):PaymentSchedule45[[#This Row],[INTEREST]]),"")</f>
        <v>38895.193450142287</v>
      </c>
    </row>
    <row r="48" spans="2:11" x14ac:dyDescent="0.3">
      <c r="B48" s="30">
        <f>IF(LoanIsGood,IF(ROW()-ROW(PaymentSchedule45[[#Headers],[PMT NO]])&gt;ScheduledNumberOfPayments,"",ROW()-ROW(PaymentSchedule45[[#Headers],[PMT NO]])),"")</f>
        <v>33</v>
      </c>
      <c r="C48" s="31">
        <f>IF(PaymentSchedule45[[#This Row],[PMT NO]]&lt;&gt;"",EOMONTH(LoanStartDate,ROW(PaymentSchedule45[[#This Row],[PMT NO]])-ROW(PaymentSchedule45[[#Headers],[PMT NO]])-2)+DAY(LoanStartDate),"")</f>
        <v>44348</v>
      </c>
      <c r="D48" s="32">
        <f>IF(PaymentSchedule45[[#This Row],[PMT NO]]&lt;&gt;"",IF(ROW()-ROW(PaymentSchedule45[[#Headers],[BEGINNING BALANCE]])=1,LoanAmount,INDEX(PaymentSchedule45[ENDING BALANCE],ROW()-ROW(PaymentSchedule45[[#Headers],[BEGINNING BALANCE]])-1)),"")</f>
        <v>147479.41925861908</v>
      </c>
      <c r="E48" s="32">
        <f>IF(PaymentSchedule45[[#This Row],[PMT NO]]&lt;&gt;"",ScheduledPayment,"")</f>
        <v>1294.2429434851008</v>
      </c>
      <c r="F4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4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48" s="32">
        <f>IF(PaymentSchedule45[[#This Row],[PMT NO]]&lt;&gt;"",PaymentSchedule45[[#This Row],[TOTAL PAYMENT]]-PaymentSchedule45[[#This Row],[INTEREST]],"")</f>
        <v>89.827686206378303</v>
      </c>
      <c r="I48" s="32">
        <f>IF(PaymentSchedule45[[#This Row],[PMT NO]]&lt;&gt;"",PaymentSchedule45[[#This Row],[BEGINNING BALANCE]]*(InterestRate/PaymentsPerYear),"")</f>
        <v>1204.4152572787225</v>
      </c>
      <c r="J4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147389.5915724127</v>
      </c>
      <c r="K48" s="32">
        <f>IF(PaymentSchedule45[[#This Row],[PMT NO]]&lt;&gt;"",SUM(INDEX(PaymentSchedule45[INTEREST],1,1):PaymentSchedule45[[#This Row],[INTEREST]]),"")</f>
        <v>40099.608707421008</v>
      </c>
    </row>
    <row r="49" spans="2:11" x14ac:dyDescent="0.3">
      <c r="B49" s="30">
        <f>IF(LoanIsGood,IF(ROW()-ROW(PaymentSchedule45[[#Headers],[PMT NO]])&gt;ScheduledNumberOfPayments,"",ROW()-ROW(PaymentSchedule45[[#Headers],[PMT NO]])),"")</f>
        <v>34</v>
      </c>
      <c r="C49" s="31">
        <f>IF(PaymentSchedule45[[#This Row],[PMT NO]]&lt;&gt;"",EOMONTH(LoanStartDate,ROW(PaymentSchedule45[[#This Row],[PMT NO]])-ROW(PaymentSchedule45[[#Headers],[PMT NO]])-2)+DAY(LoanStartDate),"")</f>
        <v>44378</v>
      </c>
      <c r="D49" s="32">
        <f>IF(PaymentSchedule45[[#This Row],[PMT NO]]&lt;&gt;"",IF(ROW()-ROW(PaymentSchedule45[[#Headers],[BEGINNING BALANCE]])=1,LoanAmount,INDEX(PaymentSchedule45[ENDING BALANCE],ROW()-ROW(PaymentSchedule45[[#Headers],[BEGINNING BALANCE]])-1)),"")</f>
        <v>147389.5915724127</v>
      </c>
      <c r="E49" s="32">
        <f>IF(PaymentSchedule45[[#This Row],[PMT NO]]&lt;&gt;"",ScheduledPayment,"")</f>
        <v>1294.2429434851008</v>
      </c>
      <c r="F4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4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49" s="32">
        <f>IF(PaymentSchedule45[[#This Row],[PMT NO]]&lt;&gt;"",PaymentSchedule45[[#This Row],[TOTAL PAYMENT]]-PaymentSchedule45[[#This Row],[INTEREST]],"")</f>
        <v>90.561278977063694</v>
      </c>
      <c r="I49" s="32">
        <f>IF(PaymentSchedule45[[#This Row],[PMT NO]]&lt;&gt;"",PaymentSchedule45[[#This Row],[BEGINNING BALANCE]]*(InterestRate/PaymentsPerYear),"")</f>
        <v>1203.6816645080371</v>
      </c>
      <c r="J4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147299.03029343564</v>
      </c>
      <c r="K49" s="32">
        <f>IF(PaymentSchedule45[[#This Row],[PMT NO]]&lt;&gt;"",SUM(INDEX(PaymentSchedule45[INTEREST],1,1):PaymentSchedule45[[#This Row],[INTEREST]]),"")</f>
        <v>41303.290371929048</v>
      </c>
    </row>
    <row r="50" spans="2:11" x14ac:dyDescent="0.3">
      <c r="B50" s="30">
        <f>IF(LoanIsGood,IF(ROW()-ROW(PaymentSchedule45[[#Headers],[PMT NO]])&gt;ScheduledNumberOfPayments,"",ROW()-ROW(PaymentSchedule45[[#Headers],[PMT NO]])),"")</f>
        <v>35</v>
      </c>
      <c r="C50" s="31">
        <f>IF(PaymentSchedule45[[#This Row],[PMT NO]]&lt;&gt;"",EOMONTH(LoanStartDate,ROW(PaymentSchedule45[[#This Row],[PMT NO]])-ROW(PaymentSchedule45[[#Headers],[PMT NO]])-2)+DAY(LoanStartDate),"")</f>
        <v>44409</v>
      </c>
      <c r="D50" s="32">
        <f>IF(PaymentSchedule45[[#This Row],[PMT NO]]&lt;&gt;"",IF(ROW()-ROW(PaymentSchedule45[[#Headers],[BEGINNING BALANCE]])=1,LoanAmount,INDEX(PaymentSchedule45[ENDING BALANCE],ROW()-ROW(PaymentSchedule45[[#Headers],[BEGINNING BALANCE]])-1)),"")</f>
        <v>147299.03029343564</v>
      </c>
      <c r="E50" s="32">
        <f>IF(PaymentSchedule45[[#This Row],[PMT NO]]&lt;&gt;"",ScheduledPayment,"")</f>
        <v>1294.2429434851008</v>
      </c>
      <c r="F5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5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50" s="32">
        <f>IF(PaymentSchedule45[[#This Row],[PMT NO]]&lt;&gt;"",PaymentSchedule45[[#This Row],[TOTAL PAYMENT]]-PaymentSchedule45[[#This Row],[INTEREST]],"")</f>
        <v>91.300862755376329</v>
      </c>
      <c r="I50" s="32">
        <f>IF(PaymentSchedule45[[#This Row],[PMT NO]]&lt;&gt;"",PaymentSchedule45[[#This Row],[BEGINNING BALANCE]]*(InterestRate/PaymentsPerYear),"")</f>
        <v>1202.9420807297245</v>
      </c>
      <c r="J5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147207.72943068028</v>
      </c>
      <c r="K50" s="32">
        <f>IF(PaymentSchedule45[[#This Row],[PMT NO]]&lt;&gt;"",SUM(INDEX(PaymentSchedule45[INTEREST],1,1):PaymentSchedule45[[#This Row],[INTEREST]]),"")</f>
        <v>42506.232452658769</v>
      </c>
    </row>
    <row r="51" spans="2:11" x14ac:dyDescent="0.3">
      <c r="B51" s="30">
        <f>IF(LoanIsGood,IF(ROW()-ROW(PaymentSchedule45[[#Headers],[PMT NO]])&gt;ScheduledNumberOfPayments,"",ROW()-ROW(PaymentSchedule45[[#Headers],[PMT NO]])),"")</f>
        <v>36</v>
      </c>
      <c r="C51" s="31">
        <f>IF(PaymentSchedule45[[#This Row],[PMT NO]]&lt;&gt;"",EOMONTH(LoanStartDate,ROW(PaymentSchedule45[[#This Row],[PMT NO]])-ROW(PaymentSchedule45[[#Headers],[PMT NO]])-2)+DAY(LoanStartDate),"")</f>
        <v>44440</v>
      </c>
      <c r="D51" s="32">
        <f>IF(PaymentSchedule45[[#This Row],[PMT NO]]&lt;&gt;"",IF(ROW()-ROW(PaymentSchedule45[[#Headers],[BEGINNING BALANCE]])=1,LoanAmount,INDEX(PaymentSchedule45[ENDING BALANCE],ROW()-ROW(PaymentSchedule45[[#Headers],[BEGINNING BALANCE]])-1)),"")</f>
        <v>147207.72943068028</v>
      </c>
      <c r="E51" s="32">
        <f>IF(PaymentSchedule45[[#This Row],[PMT NO]]&lt;&gt;"",ScheduledPayment,"")</f>
        <v>1294.2429434851008</v>
      </c>
      <c r="F5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5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51" s="32">
        <f>IF(PaymentSchedule45[[#This Row],[PMT NO]]&lt;&gt;"",PaymentSchedule45[[#This Row],[TOTAL PAYMENT]]-PaymentSchedule45[[#This Row],[INTEREST]],"")</f>
        <v>92.046486467878367</v>
      </c>
      <c r="I51" s="32">
        <f>IF(PaymentSchedule45[[#This Row],[PMT NO]]&lt;&gt;"",PaymentSchedule45[[#This Row],[BEGINNING BALANCE]]*(InterestRate/PaymentsPerYear),"")</f>
        <v>1202.1964570172224</v>
      </c>
      <c r="J5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147115.6829442124</v>
      </c>
      <c r="K51" s="32">
        <f>IF(PaymentSchedule45[[#This Row],[PMT NO]]&lt;&gt;"",SUM(INDEX(PaymentSchedule45[INTEREST],1,1):PaymentSchedule45[[#This Row],[INTEREST]]),"")</f>
        <v>43708.428909675989</v>
      </c>
    </row>
    <row r="52" spans="2:11" x14ac:dyDescent="0.3">
      <c r="B52" s="30">
        <f>IF(LoanIsGood,IF(ROW()-ROW(PaymentSchedule45[[#Headers],[PMT NO]])&gt;ScheduledNumberOfPayments,"",ROW()-ROW(PaymentSchedule45[[#Headers],[PMT NO]])),"")</f>
        <v>37</v>
      </c>
      <c r="C52" s="31">
        <f>IF(PaymentSchedule45[[#This Row],[PMT NO]]&lt;&gt;"",EOMONTH(LoanStartDate,ROW(PaymentSchedule45[[#This Row],[PMT NO]])-ROW(PaymentSchedule45[[#Headers],[PMT NO]])-2)+DAY(LoanStartDate),"")</f>
        <v>44470</v>
      </c>
      <c r="D52" s="32">
        <f>IF(PaymentSchedule45[[#This Row],[PMT NO]]&lt;&gt;"",IF(ROW()-ROW(PaymentSchedule45[[#Headers],[BEGINNING BALANCE]])=1,LoanAmount,INDEX(PaymentSchedule45[ENDING BALANCE],ROW()-ROW(PaymentSchedule45[[#Headers],[BEGINNING BALANCE]])-1)),"")</f>
        <v>147115.6829442124</v>
      </c>
      <c r="E52" s="32">
        <f>IF(PaymentSchedule45[[#This Row],[PMT NO]]&lt;&gt;"",ScheduledPayment,"")</f>
        <v>1294.2429434851008</v>
      </c>
      <c r="F5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5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52" s="32">
        <f>IF(PaymentSchedule45[[#This Row],[PMT NO]]&lt;&gt;"",PaymentSchedule45[[#This Row],[TOTAL PAYMENT]]-PaymentSchedule45[[#This Row],[INTEREST]],"")</f>
        <v>92.798199440699364</v>
      </c>
      <c r="I52" s="32">
        <f>IF(PaymentSchedule45[[#This Row],[PMT NO]]&lt;&gt;"",PaymentSchedule45[[#This Row],[BEGINNING BALANCE]]*(InterestRate/PaymentsPerYear),"")</f>
        <v>1201.4447440444014</v>
      </c>
      <c r="J5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147022.8847447717</v>
      </c>
      <c r="K52" s="32">
        <f>IF(PaymentSchedule45[[#This Row],[PMT NO]]&lt;&gt;"",SUM(INDEX(PaymentSchedule45[INTEREST],1,1):PaymentSchedule45[[#This Row],[INTEREST]]),"")</f>
        <v>44909.873653720388</v>
      </c>
    </row>
    <row r="53" spans="2:11" x14ac:dyDescent="0.3">
      <c r="B53" s="30">
        <f>IF(LoanIsGood,IF(ROW()-ROW(PaymentSchedule45[[#Headers],[PMT NO]])&gt;ScheduledNumberOfPayments,"",ROW()-ROW(PaymentSchedule45[[#Headers],[PMT NO]])),"")</f>
        <v>38</v>
      </c>
      <c r="C53" s="31">
        <f>IF(PaymentSchedule45[[#This Row],[PMT NO]]&lt;&gt;"",EOMONTH(LoanStartDate,ROW(PaymentSchedule45[[#This Row],[PMT NO]])-ROW(PaymentSchedule45[[#Headers],[PMT NO]])-2)+DAY(LoanStartDate),"")</f>
        <v>44501</v>
      </c>
      <c r="D53" s="32">
        <f>IF(PaymentSchedule45[[#This Row],[PMT NO]]&lt;&gt;"",IF(ROW()-ROW(PaymentSchedule45[[#Headers],[BEGINNING BALANCE]])=1,LoanAmount,INDEX(PaymentSchedule45[ENDING BALANCE],ROW()-ROW(PaymentSchedule45[[#Headers],[BEGINNING BALANCE]])-1)),"")</f>
        <v>147022.8847447717</v>
      </c>
      <c r="E53" s="32">
        <f>IF(PaymentSchedule45[[#This Row],[PMT NO]]&lt;&gt;"",ScheduledPayment,"")</f>
        <v>1294.2429434851008</v>
      </c>
      <c r="F5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5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53" s="32">
        <f>IF(PaymentSchedule45[[#This Row],[PMT NO]]&lt;&gt;"",PaymentSchedule45[[#This Row],[TOTAL PAYMENT]]-PaymentSchedule45[[#This Row],[INTEREST]],"")</f>
        <v>93.556051402798403</v>
      </c>
      <c r="I53" s="32">
        <f>IF(PaymentSchedule45[[#This Row],[PMT NO]]&lt;&gt;"",PaymentSchedule45[[#This Row],[BEGINNING BALANCE]]*(InterestRate/PaymentsPerYear),"")</f>
        <v>1200.6868920823024</v>
      </c>
      <c r="J5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146929.32869336891</v>
      </c>
      <c r="K53" s="32">
        <f>IF(PaymentSchedule45[[#This Row],[PMT NO]]&lt;&gt;"",SUM(INDEX(PaymentSchedule45[INTEREST],1,1):PaymentSchedule45[[#This Row],[INTEREST]]),"")</f>
        <v>46110.560545802691</v>
      </c>
    </row>
    <row r="54" spans="2:11" x14ac:dyDescent="0.3">
      <c r="B54" s="30">
        <f>IF(LoanIsGood,IF(ROW()-ROW(PaymentSchedule45[[#Headers],[PMT NO]])&gt;ScheduledNumberOfPayments,"",ROW()-ROW(PaymentSchedule45[[#Headers],[PMT NO]])),"")</f>
        <v>39</v>
      </c>
      <c r="C54" s="31">
        <f>IF(PaymentSchedule45[[#This Row],[PMT NO]]&lt;&gt;"",EOMONTH(LoanStartDate,ROW(PaymentSchedule45[[#This Row],[PMT NO]])-ROW(PaymentSchedule45[[#Headers],[PMT NO]])-2)+DAY(LoanStartDate),"")</f>
        <v>44531</v>
      </c>
      <c r="D54" s="32">
        <f>IF(PaymentSchedule45[[#This Row],[PMT NO]]&lt;&gt;"",IF(ROW()-ROW(PaymentSchedule45[[#Headers],[BEGINNING BALANCE]])=1,LoanAmount,INDEX(PaymentSchedule45[ENDING BALANCE],ROW()-ROW(PaymentSchedule45[[#Headers],[BEGINNING BALANCE]])-1)),"")</f>
        <v>146929.32869336891</v>
      </c>
      <c r="E54" s="32">
        <f>IF(PaymentSchedule45[[#This Row],[PMT NO]]&lt;&gt;"",ScheduledPayment,"")</f>
        <v>1294.2429434851008</v>
      </c>
      <c r="F5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5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54" s="32">
        <f>IF(PaymentSchedule45[[#This Row],[PMT NO]]&lt;&gt;"",PaymentSchedule45[[#This Row],[TOTAL PAYMENT]]-PaymentSchedule45[[#This Row],[INTEREST]],"")</f>
        <v>94.320092489254648</v>
      </c>
      <c r="I54" s="32">
        <f>IF(PaymentSchedule45[[#This Row],[PMT NO]]&lt;&gt;"",PaymentSchedule45[[#This Row],[BEGINNING BALANCE]]*(InterestRate/PaymentsPerYear),"")</f>
        <v>1199.9228509958461</v>
      </c>
      <c r="J5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146835.00860087966</v>
      </c>
      <c r="K54" s="32">
        <f>IF(PaymentSchedule45[[#This Row],[PMT NO]]&lt;&gt;"",SUM(INDEX(PaymentSchedule45[INTEREST],1,1):PaymentSchedule45[[#This Row],[INTEREST]]),"")</f>
        <v>47310.48339679854</v>
      </c>
    </row>
    <row r="55" spans="2:11" x14ac:dyDescent="0.3">
      <c r="B55" s="30">
        <f>IF(LoanIsGood,IF(ROW()-ROW(PaymentSchedule45[[#Headers],[PMT NO]])&gt;ScheduledNumberOfPayments,"",ROW()-ROW(PaymentSchedule45[[#Headers],[PMT NO]])),"")</f>
        <v>40</v>
      </c>
      <c r="C55" s="31">
        <f>IF(PaymentSchedule45[[#This Row],[PMT NO]]&lt;&gt;"",EOMONTH(LoanStartDate,ROW(PaymentSchedule45[[#This Row],[PMT NO]])-ROW(PaymentSchedule45[[#Headers],[PMT NO]])-2)+DAY(LoanStartDate),"")</f>
        <v>44562</v>
      </c>
      <c r="D55" s="32">
        <f>IF(PaymentSchedule45[[#This Row],[PMT NO]]&lt;&gt;"",IF(ROW()-ROW(PaymentSchedule45[[#Headers],[BEGINNING BALANCE]])=1,LoanAmount,INDEX(PaymentSchedule45[ENDING BALANCE],ROW()-ROW(PaymentSchedule45[[#Headers],[BEGINNING BALANCE]])-1)),"")</f>
        <v>146835.00860087966</v>
      </c>
      <c r="E55" s="32">
        <f>IF(PaymentSchedule45[[#This Row],[PMT NO]]&lt;&gt;"",ScheduledPayment,"")</f>
        <v>1294.2429434851008</v>
      </c>
      <c r="F5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5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55" s="32">
        <f>IF(PaymentSchedule45[[#This Row],[PMT NO]]&lt;&gt;"",PaymentSchedule45[[#This Row],[TOTAL PAYMENT]]-PaymentSchedule45[[#This Row],[INTEREST]],"")</f>
        <v>95.090373244583361</v>
      </c>
      <c r="I55" s="32">
        <f>IF(PaymentSchedule45[[#This Row],[PMT NO]]&lt;&gt;"",PaymentSchedule45[[#This Row],[BEGINNING BALANCE]]*(InterestRate/PaymentsPerYear),"")</f>
        <v>1199.1525702405174</v>
      </c>
      <c r="J5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146739.91822763509</v>
      </c>
      <c r="K55" s="32">
        <f>IF(PaymentSchedule45[[#This Row],[PMT NO]]&lt;&gt;"",SUM(INDEX(PaymentSchedule45[INTEREST],1,1):PaymentSchedule45[[#This Row],[INTEREST]]),"")</f>
        <v>48509.635967039059</v>
      </c>
    </row>
    <row r="56" spans="2:11" x14ac:dyDescent="0.3">
      <c r="B56" s="30">
        <f>IF(LoanIsGood,IF(ROW()-ROW(PaymentSchedule45[[#Headers],[PMT NO]])&gt;ScheduledNumberOfPayments,"",ROW()-ROW(PaymentSchedule45[[#Headers],[PMT NO]])),"")</f>
        <v>41</v>
      </c>
      <c r="C56" s="31">
        <f>IF(PaymentSchedule45[[#This Row],[PMT NO]]&lt;&gt;"",EOMONTH(LoanStartDate,ROW(PaymentSchedule45[[#This Row],[PMT NO]])-ROW(PaymentSchedule45[[#Headers],[PMT NO]])-2)+DAY(LoanStartDate),"")</f>
        <v>44593</v>
      </c>
      <c r="D56" s="32">
        <f>IF(PaymentSchedule45[[#This Row],[PMT NO]]&lt;&gt;"",IF(ROW()-ROW(PaymentSchedule45[[#Headers],[BEGINNING BALANCE]])=1,LoanAmount,INDEX(PaymentSchedule45[ENDING BALANCE],ROW()-ROW(PaymentSchedule45[[#Headers],[BEGINNING BALANCE]])-1)),"")</f>
        <v>146739.91822763509</v>
      </c>
      <c r="E56" s="32">
        <f>IF(PaymentSchedule45[[#This Row],[PMT NO]]&lt;&gt;"",ScheduledPayment,"")</f>
        <v>1294.2429434851008</v>
      </c>
      <c r="F5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5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56" s="32">
        <f>IF(PaymentSchedule45[[#This Row],[PMT NO]]&lt;&gt;"",PaymentSchedule45[[#This Row],[TOTAL PAYMENT]]-PaymentSchedule45[[#This Row],[INTEREST]],"")</f>
        <v>95.866944626080794</v>
      </c>
      <c r="I56" s="32">
        <f>IF(PaymentSchedule45[[#This Row],[PMT NO]]&lt;&gt;"",PaymentSchedule45[[#This Row],[BEGINNING BALANCE]]*(InterestRate/PaymentsPerYear),"")</f>
        <v>1198.37599885902</v>
      </c>
      <c r="J5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146644.051283009</v>
      </c>
      <c r="K56" s="32">
        <f>IF(PaymentSchedule45[[#This Row],[PMT NO]]&lt;&gt;"",SUM(INDEX(PaymentSchedule45[INTEREST],1,1):PaymentSchedule45[[#This Row],[INTEREST]]),"")</f>
        <v>49708.011965898077</v>
      </c>
    </row>
    <row r="57" spans="2:11" x14ac:dyDescent="0.3">
      <c r="B57" s="30">
        <f>IF(LoanIsGood,IF(ROW()-ROW(PaymentSchedule45[[#Headers],[PMT NO]])&gt;ScheduledNumberOfPayments,"",ROW()-ROW(PaymentSchedule45[[#Headers],[PMT NO]])),"")</f>
        <v>42</v>
      </c>
      <c r="C57" s="31">
        <f>IF(PaymentSchedule45[[#This Row],[PMT NO]]&lt;&gt;"",EOMONTH(LoanStartDate,ROW(PaymentSchedule45[[#This Row],[PMT NO]])-ROW(PaymentSchedule45[[#Headers],[PMT NO]])-2)+DAY(LoanStartDate),"")</f>
        <v>44621</v>
      </c>
      <c r="D57" s="32">
        <f>IF(PaymentSchedule45[[#This Row],[PMT NO]]&lt;&gt;"",IF(ROW()-ROW(PaymentSchedule45[[#Headers],[BEGINNING BALANCE]])=1,LoanAmount,INDEX(PaymentSchedule45[ENDING BALANCE],ROW()-ROW(PaymentSchedule45[[#Headers],[BEGINNING BALANCE]])-1)),"")</f>
        <v>146644.051283009</v>
      </c>
      <c r="E57" s="32">
        <f>IF(PaymentSchedule45[[#This Row],[PMT NO]]&lt;&gt;"",ScheduledPayment,"")</f>
        <v>1294.2429434851008</v>
      </c>
      <c r="F5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5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57" s="32">
        <f>IF(PaymentSchedule45[[#This Row],[PMT NO]]&lt;&gt;"",PaymentSchedule45[[#This Row],[TOTAL PAYMENT]]-PaymentSchedule45[[#This Row],[INTEREST]],"")</f>
        <v>96.64985800719387</v>
      </c>
      <c r="I57" s="32">
        <f>IF(PaymentSchedule45[[#This Row],[PMT NO]]&lt;&gt;"",PaymentSchedule45[[#This Row],[BEGINNING BALANCE]]*(InterestRate/PaymentsPerYear),"")</f>
        <v>1197.5930854779069</v>
      </c>
      <c r="J5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146547.40142500179</v>
      </c>
      <c r="K57" s="32">
        <f>IF(PaymentSchedule45[[#This Row],[PMT NO]]&lt;&gt;"",SUM(INDEX(PaymentSchedule45[INTEREST],1,1):PaymentSchedule45[[#This Row],[INTEREST]]),"")</f>
        <v>50905.605051375984</v>
      </c>
    </row>
    <row r="58" spans="2:11" x14ac:dyDescent="0.3">
      <c r="B58" s="30">
        <f>IF(LoanIsGood,IF(ROW()-ROW(PaymentSchedule45[[#Headers],[PMT NO]])&gt;ScheduledNumberOfPayments,"",ROW()-ROW(PaymentSchedule45[[#Headers],[PMT NO]])),"")</f>
        <v>43</v>
      </c>
      <c r="C58" s="31">
        <f>IF(PaymentSchedule45[[#This Row],[PMT NO]]&lt;&gt;"",EOMONTH(LoanStartDate,ROW(PaymentSchedule45[[#This Row],[PMT NO]])-ROW(PaymentSchedule45[[#Headers],[PMT NO]])-2)+DAY(LoanStartDate),"")</f>
        <v>44652</v>
      </c>
      <c r="D58" s="32">
        <f>IF(PaymentSchedule45[[#This Row],[PMT NO]]&lt;&gt;"",IF(ROW()-ROW(PaymentSchedule45[[#Headers],[BEGINNING BALANCE]])=1,LoanAmount,INDEX(PaymentSchedule45[ENDING BALANCE],ROW()-ROW(PaymentSchedule45[[#Headers],[BEGINNING BALANCE]])-1)),"")</f>
        <v>146547.40142500179</v>
      </c>
      <c r="E58" s="32">
        <f>IF(PaymentSchedule45[[#This Row],[PMT NO]]&lt;&gt;"",ScheduledPayment,"")</f>
        <v>1294.2429434851008</v>
      </c>
      <c r="F5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5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58" s="32">
        <f>IF(PaymentSchedule45[[#This Row],[PMT NO]]&lt;&gt;"",PaymentSchedule45[[#This Row],[TOTAL PAYMENT]]-PaymentSchedule45[[#This Row],[INTEREST]],"")</f>
        <v>97.439165180919417</v>
      </c>
      <c r="I58" s="32">
        <f>IF(PaymentSchedule45[[#This Row],[PMT NO]]&lt;&gt;"",PaymentSchedule45[[#This Row],[BEGINNING BALANCE]]*(InterestRate/PaymentsPerYear),"")</f>
        <v>1196.8037783041814</v>
      </c>
      <c r="J5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146449.96225982087</v>
      </c>
      <c r="K58" s="32">
        <f>IF(PaymentSchedule45[[#This Row],[PMT NO]]&lt;&gt;"",SUM(INDEX(PaymentSchedule45[INTEREST],1,1):PaymentSchedule45[[#This Row],[INTEREST]]),"")</f>
        <v>52102.408829680164</v>
      </c>
    </row>
    <row r="59" spans="2:11" x14ac:dyDescent="0.3">
      <c r="B59" s="30">
        <f>IF(LoanIsGood,IF(ROW()-ROW(PaymentSchedule45[[#Headers],[PMT NO]])&gt;ScheduledNumberOfPayments,"",ROW()-ROW(PaymentSchedule45[[#Headers],[PMT NO]])),"")</f>
        <v>44</v>
      </c>
      <c r="C59" s="31">
        <f>IF(PaymentSchedule45[[#This Row],[PMT NO]]&lt;&gt;"",EOMONTH(LoanStartDate,ROW(PaymentSchedule45[[#This Row],[PMT NO]])-ROW(PaymentSchedule45[[#Headers],[PMT NO]])-2)+DAY(LoanStartDate),"")</f>
        <v>44682</v>
      </c>
      <c r="D59" s="32">
        <f>IF(PaymentSchedule45[[#This Row],[PMT NO]]&lt;&gt;"",IF(ROW()-ROW(PaymentSchedule45[[#Headers],[BEGINNING BALANCE]])=1,LoanAmount,INDEX(PaymentSchedule45[ENDING BALANCE],ROW()-ROW(PaymentSchedule45[[#Headers],[BEGINNING BALANCE]])-1)),"")</f>
        <v>146449.96225982087</v>
      </c>
      <c r="E59" s="32">
        <f>IF(PaymentSchedule45[[#This Row],[PMT NO]]&lt;&gt;"",ScheduledPayment,"")</f>
        <v>1294.2429434851008</v>
      </c>
      <c r="F5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5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59" s="32">
        <f>IF(PaymentSchedule45[[#This Row],[PMT NO]]&lt;&gt;"",PaymentSchedule45[[#This Row],[TOTAL PAYMENT]]-PaymentSchedule45[[#This Row],[INTEREST]],"")</f>
        <v>98.234918363230236</v>
      </c>
      <c r="I59" s="32">
        <f>IF(PaymentSchedule45[[#This Row],[PMT NO]]&lt;&gt;"",PaymentSchedule45[[#This Row],[BEGINNING BALANCE]]*(InterestRate/PaymentsPerYear),"")</f>
        <v>1196.0080251218706</v>
      </c>
      <c r="J5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146351.72734145765</v>
      </c>
      <c r="K59" s="32">
        <f>IF(PaymentSchedule45[[#This Row],[PMT NO]]&lt;&gt;"",SUM(INDEX(PaymentSchedule45[INTEREST],1,1):PaymentSchedule45[[#This Row],[INTEREST]]),"")</f>
        <v>53298.416854802032</v>
      </c>
    </row>
    <row r="60" spans="2:11" x14ac:dyDescent="0.3">
      <c r="B60" s="30">
        <f>IF(LoanIsGood,IF(ROW()-ROW(PaymentSchedule45[[#Headers],[PMT NO]])&gt;ScheduledNumberOfPayments,"",ROW()-ROW(PaymentSchedule45[[#Headers],[PMT NO]])),"")</f>
        <v>45</v>
      </c>
      <c r="C60" s="31">
        <f>IF(PaymentSchedule45[[#This Row],[PMT NO]]&lt;&gt;"",EOMONTH(LoanStartDate,ROW(PaymentSchedule45[[#This Row],[PMT NO]])-ROW(PaymentSchedule45[[#Headers],[PMT NO]])-2)+DAY(LoanStartDate),"")</f>
        <v>44713</v>
      </c>
      <c r="D60" s="32">
        <f>IF(PaymentSchedule45[[#This Row],[PMT NO]]&lt;&gt;"",IF(ROW()-ROW(PaymentSchedule45[[#Headers],[BEGINNING BALANCE]])=1,LoanAmount,INDEX(PaymentSchedule45[ENDING BALANCE],ROW()-ROW(PaymentSchedule45[[#Headers],[BEGINNING BALANCE]])-1)),"")</f>
        <v>146351.72734145765</v>
      </c>
      <c r="E60" s="32">
        <f>IF(PaymentSchedule45[[#This Row],[PMT NO]]&lt;&gt;"",ScheduledPayment,"")</f>
        <v>1294.2429434851008</v>
      </c>
      <c r="F6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6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60" s="32">
        <f>IF(PaymentSchedule45[[#This Row],[PMT NO]]&lt;&gt;"",PaymentSchedule45[[#This Row],[TOTAL PAYMENT]]-PaymentSchedule45[[#This Row],[INTEREST]],"")</f>
        <v>99.037170196529814</v>
      </c>
      <c r="I60" s="32">
        <f>IF(PaymentSchedule45[[#This Row],[PMT NO]]&lt;&gt;"",PaymentSchedule45[[#This Row],[BEGINNING BALANCE]]*(InterestRate/PaymentsPerYear),"")</f>
        <v>1195.205773288571</v>
      </c>
      <c r="J6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146252.69017126111</v>
      </c>
      <c r="K60" s="32">
        <f>IF(PaymentSchedule45[[#This Row],[PMT NO]]&lt;&gt;"",SUM(INDEX(PaymentSchedule45[INTEREST],1,1):PaymentSchedule45[[#This Row],[INTEREST]]),"")</f>
        <v>54493.622628090605</v>
      </c>
    </row>
    <row r="61" spans="2:11" x14ac:dyDescent="0.3">
      <c r="B61" s="30">
        <f>IF(LoanIsGood,IF(ROW()-ROW(PaymentSchedule45[[#Headers],[PMT NO]])&gt;ScheduledNumberOfPayments,"",ROW()-ROW(PaymentSchedule45[[#Headers],[PMT NO]])),"")</f>
        <v>46</v>
      </c>
      <c r="C61" s="31">
        <f>IF(PaymentSchedule45[[#This Row],[PMT NO]]&lt;&gt;"",EOMONTH(LoanStartDate,ROW(PaymentSchedule45[[#This Row],[PMT NO]])-ROW(PaymentSchedule45[[#Headers],[PMT NO]])-2)+DAY(LoanStartDate),"")</f>
        <v>44743</v>
      </c>
      <c r="D61" s="32">
        <f>IF(PaymentSchedule45[[#This Row],[PMT NO]]&lt;&gt;"",IF(ROW()-ROW(PaymentSchedule45[[#Headers],[BEGINNING BALANCE]])=1,LoanAmount,INDEX(PaymentSchedule45[ENDING BALANCE],ROW()-ROW(PaymentSchedule45[[#Headers],[BEGINNING BALANCE]])-1)),"")</f>
        <v>146252.69017126111</v>
      </c>
      <c r="E61" s="32">
        <f>IF(PaymentSchedule45[[#This Row],[PMT NO]]&lt;&gt;"",ScheduledPayment,"")</f>
        <v>1294.2429434851008</v>
      </c>
      <c r="F6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6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61" s="32">
        <f>IF(PaymentSchedule45[[#This Row],[PMT NO]]&lt;&gt;"",PaymentSchedule45[[#This Row],[TOTAL PAYMENT]]-PaymentSchedule45[[#This Row],[INTEREST]],"")</f>
        <v>99.845973753134786</v>
      </c>
      <c r="I61" s="32">
        <f>IF(PaymentSchedule45[[#This Row],[PMT NO]]&lt;&gt;"",PaymentSchedule45[[#This Row],[BEGINNING BALANCE]]*(InterestRate/PaymentsPerYear),"")</f>
        <v>1194.396969731966</v>
      </c>
      <c r="J6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146152.84419750798</v>
      </c>
      <c r="K61" s="32">
        <f>IF(PaymentSchedule45[[#This Row],[PMT NO]]&lt;&gt;"",SUM(INDEX(PaymentSchedule45[INTEREST],1,1):PaymentSchedule45[[#This Row],[INTEREST]]),"")</f>
        <v>55688.019597822567</v>
      </c>
    </row>
    <row r="62" spans="2:11" x14ac:dyDescent="0.3">
      <c r="B62" s="30">
        <f>IF(LoanIsGood,IF(ROW()-ROW(PaymentSchedule45[[#Headers],[PMT NO]])&gt;ScheduledNumberOfPayments,"",ROW()-ROW(PaymentSchedule45[[#Headers],[PMT NO]])),"")</f>
        <v>47</v>
      </c>
      <c r="C62" s="31">
        <f>IF(PaymentSchedule45[[#This Row],[PMT NO]]&lt;&gt;"",EOMONTH(LoanStartDate,ROW(PaymentSchedule45[[#This Row],[PMT NO]])-ROW(PaymentSchedule45[[#Headers],[PMT NO]])-2)+DAY(LoanStartDate),"")</f>
        <v>44774</v>
      </c>
      <c r="D62" s="32">
        <f>IF(PaymentSchedule45[[#This Row],[PMT NO]]&lt;&gt;"",IF(ROW()-ROW(PaymentSchedule45[[#Headers],[BEGINNING BALANCE]])=1,LoanAmount,INDEX(PaymentSchedule45[ENDING BALANCE],ROW()-ROW(PaymentSchedule45[[#Headers],[BEGINNING BALANCE]])-1)),"")</f>
        <v>146152.84419750798</v>
      </c>
      <c r="E62" s="32">
        <f>IF(PaymentSchedule45[[#This Row],[PMT NO]]&lt;&gt;"",ScheduledPayment,"")</f>
        <v>1294.2429434851008</v>
      </c>
      <c r="F6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6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62" s="32">
        <f>IF(PaymentSchedule45[[#This Row],[PMT NO]]&lt;&gt;"",PaymentSchedule45[[#This Row],[TOTAL PAYMENT]]-PaymentSchedule45[[#This Row],[INTEREST]],"")</f>
        <v>100.66138253878557</v>
      </c>
      <c r="I62" s="32">
        <f>IF(PaymentSchedule45[[#This Row],[PMT NO]]&lt;&gt;"",PaymentSchedule45[[#This Row],[BEGINNING BALANCE]]*(InterestRate/PaymentsPerYear),"")</f>
        <v>1193.5815609463152</v>
      </c>
      <c r="J6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146052.18281496919</v>
      </c>
      <c r="K62" s="32">
        <f>IF(PaymentSchedule45[[#This Row],[PMT NO]]&lt;&gt;"",SUM(INDEX(PaymentSchedule45[INTEREST],1,1):PaymentSchedule45[[#This Row],[INTEREST]]),"")</f>
        <v>56881.601158768884</v>
      </c>
    </row>
    <row r="63" spans="2:11" x14ac:dyDescent="0.3">
      <c r="B63" s="30">
        <f>IF(LoanIsGood,IF(ROW()-ROW(PaymentSchedule45[[#Headers],[PMT NO]])&gt;ScheduledNumberOfPayments,"",ROW()-ROW(PaymentSchedule45[[#Headers],[PMT NO]])),"")</f>
        <v>48</v>
      </c>
      <c r="C63" s="31">
        <f>IF(PaymentSchedule45[[#This Row],[PMT NO]]&lt;&gt;"",EOMONTH(LoanStartDate,ROW(PaymentSchedule45[[#This Row],[PMT NO]])-ROW(PaymentSchedule45[[#Headers],[PMT NO]])-2)+DAY(LoanStartDate),"")</f>
        <v>44805</v>
      </c>
      <c r="D63" s="32">
        <f>IF(PaymentSchedule45[[#This Row],[PMT NO]]&lt;&gt;"",IF(ROW()-ROW(PaymentSchedule45[[#Headers],[BEGINNING BALANCE]])=1,LoanAmount,INDEX(PaymentSchedule45[ENDING BALANCE],ROW()-ROW(PaymentSchedule45[[#Headers],[BEGINNING BALANCE]])-1)),"")</f>
        <v>146052.18281496919</v>
      </c>
      <c r="E63" s="32">
        <f>IF(PaymentSchedule45[[#This Row],[PMT NO]]&lt;&gt;"",ScheduledPayment,"")</f>
        <v>1294.2429434851008</v>
      </c>
      <c r="F6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6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63" s="32">
        <f>IF(PaymentSchedule45[[#This Row],[PMT NO]]&lt;&gt;"",PaymentSchedule45[[#This Row],[TOTAL PAYMENT]]-PaymentSchedule45[[#This Row],[INTEREST]],"")</f>
        <v>101.4834504961857</v>
      </c>
      <c r="I63" s="32">
        <f>IF(PaymentSchedule45[[#This Row],[PMT NO]]&lt;&gt;"",PaymentSchedule45[[#This Row],[BEGINNING BALANCE]]*(InterestRate/PaymentsPerYear),"")</f>
        <v>1192.7594929889151</v>
      </c>
      <c r="J6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145950.699364473</v>
      </c>
      <c r="K63" s="32">
        <f>IF(PaymentSchedule45[[#This Row],[PMT NO]]&lt;&gt;"",SUM(INDEX(PaymentSchedule45[INTEREST],1,1):PaymentSchedule45[[#This Row],[INTEREST]]),"")</f>
        <v>58074.360651757801</v>
      </c>
    </row>
    <row r="64" spans="2:11" x14ac:dyDescent="0.3">
      <c r="B64" s="30">
        <f>IF(LoanIsGood,IF(ROW()-ROW(PaymentSchedule45[[#Headers],[PMT NO]])&gt;ScheduledNumberOfPayments,"",ROW()-ROW(PaymentSchedule45[[#Headers],[PMT NO]])),"")</f>
        <v>49</v>
      </c>
      <c r="C64" s="31">
        <f>IF(PaymentSchedule45[[#This Row],[PMT NO]]&lt;&gt;"",EOMONTH(LoanStartDate,ROW(PaymentSchedule45[[#This Row],[PMT NO]])-ROW(PaymentSchedule45[[#Headers],[PMT NO]])-2)+DAY(LoanStartDate),"")</f>
        <v>44835</v>
      </c>
      <c r="D64" s="32">
        <f>IF(PaymentSchedule45[[#This Row],[PMT NO]]&lt;&gt;"",IF(ROW()-ROW(PaymentSchedule45[[#Headers],[BEGINNING BALANCE]])=1,LoanAmount,INDEX(PaymentSchedule45[ENDING BALANCE],ROW()-ROW(PaymentSchedule45[[#Headers],[BEGINNING BALANCE]])-1)),"")</f>
        <v>145950.699364473</v>
      </c>
      <c r="E64" s="32">
        <f>IF(PaymentSchedule45[[#This Row],[PMT NO]]&lt;&gt;"",ScheduledPayment,"")</f>
        <v>1294.2429434851008</v>
      </c>
      <c r="F6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6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64" s="32">
        <f>IF(PaymentSchedule45[[#This Row],[PMT NO]]&lt;&gt;"",PaymentSchedule45[[#This Row],[TOTAL PAYMENT]]-PaymentSchedule45[[#This Row],[INTEREST]],"")</f>
        <v>102.3122320085713</v>
      </c>
      <c r="I64" s="32">
        <f>IF(PaymentSchedule45[[#This Row],[PMT NO]]&lt;&gt;"",PaymentSchedule45[[#This Row],[BEGINNING BALANCE]]*(InterestRate/PaymentsPerYear),"")</f>
        <v>1191.9307114765295</v>
      </c>
      <c r="J6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145848.38713246441</v>
      </c>
      <c r="K64" s="32">
        <f>IF(PaymentSchedule45[[#This Row],[PMT NO]]&lt;&gt;"",SUM(INDEX(PaymentSchedule45[INTEREST],1,1):PaymentSchedule45[[#This Row],[INTEREST]]),"")</f>
        <v>59266.291363234333</v>
      </c>
    </row>
    <row r="65" spans="2:11" x14ac:dyDescent="0.3">
      <c r="B65" s="30">
        <f>IF(LoanIsGood,IF(ROW()-ROW(PaymentSchedule45[[#Headers],[PMT NO]])&gt;ScheduledNumberOfPayments,"",ROW()-ROW(PaymentSchedule45[[#Headers],[PMT NO]])),"")</f>
        <v>50</v>
      </c>
      <c r="C65" s="31">
        <f>IF(PaymentSchedule45[[#This Row],[PMT NO]]&lt;&gt;"",EOMONTH(LoanStartDate,ROW(PaymentSchedule45[[#This Row],[PMT NO]])-ROW(PaymentSchedule45[[#Headers],[PMT NO]])-2)+DAY(LoanStartDate),"")</f>
        <v>44866</v>
      </c>
      <c r="D65" s="32">
        <f>IF(PaymentSchedule45[[#This Row],[PMT NO]]&lt;&gt;"",IF(ROW()-ROW(PaymentSchedule45[[#Headers],[BEGINNING BALANCE]])=1,LoanAmount,INDEX(PaymentSchedule45[ENDING BALANCE],ROW()-ROW(PaymentSchedule45[[#Headers],[BEGINNING BALANCE]])-1)),"")</f>
        <v>145848.38713246441</v>
      </c>
      <c r="E65" s="32">
        <f>IF(PaymentSchedule45[[#This Row],[PMT NO]]&lt;&gt;"",ScheduledPayment,"")</f>
        <v>1294.2429434851008</v>
      </c>
      <c r="F6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6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65" s="32">
        <f>IF(PaymentSchedule45[[#This Row],[PMT NO]]&lt;&gt;"",PaymentSchedule45[[#This Row],[TOTAL PAYMENT]]-PaymentSchedule45[[#This Row],[INTEREST]],"")</f>
        <v>103.14778190330799</v>
      </c>
      <c r="I65" s="32">
        <f>IF(PaymentSchedule45[[#This Row],[PMT NO]]&lt;&gt;"",PaymentSchedule45[[#This Row],[BEGINNING BALANCE]]*(InterestRate/PaymentsPerYear),"")</f>
        <v>1191.0951615817928</v>
      </c>
      <c r="J6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145745.23935056111</v>
      </c>
      <c r="K65" s="32">
        <f>IF(PaymentSchedule45[[#This Row],[PMT NO]]&lt;&gt;"",SUM(INDEX(PaymentSchedule45[INTEREST],1,1):PaymentSchedule45[[#This Row],[INTEREST]]),"")</f>
        <v>60457.386524816124</v>
      </c>
    </row>
    <row r="66" spans="2:11" x14ac:dyDescent="0.3">
      <c r="B66" s="30">
        <f>IF(LoanIsGood,IF(ROW()-ROW(PaymentSchedule45[[#Headers],[PMT NO]])&gt;ScheduledNumberOfPayments,"",ROW()-ROW(PaymentSchedule45[[#Headers],[PMT NO]])),"")</f>
        <v>51</v>
      </c>
      <c r="C66" s="31">
        <f>IF(PaymentSchedule45[[#This Row],[PMT NO]]&lt;&gt;"",EOMONTH(LoanStartDate,ROW(PaymentSchedule45[[#This Row],[PMT NO]])-ROW(PaymentSchedule45[[#Headers],[PMT NO]])-2)+DAY(LoanStartDate),"")</f>
        <v>44896</v>
      </c>
      <c r="D66" s="32">
        <f>IF(PaymentSchedule45[[#This Row],[PMT NO]]&lt;&gt;"",IF(ROW()-ROW(PaymentSchedule45[[#Headers],[BEGINNING BALANCE]])=1,LoanAmount,INDEX(PaymentSchedule45[ENDING BALANCE],ROW()-ROW(PaymentSchedule45[[#Headers],[BEGINNING BALANCE]])-1)),"")</f>
        <v>145745.23935056111</v>
      </c>
      <c r="E66" s="32">
        <f>IF(PaymentSchedule45[[#This Row],[PMT NO]]&lt;&gt;"",ScheduledPayment,"")</f>
        <v>1294.2429434851008</v>
      </c>
      <c r="F6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6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66" s="32">
        <f>IF(PaymentSchedule45[[#This Row],[PMT NO]]&lt;&gt;"",PaymentSchedule45[[#This Row],[TOTAL PAYMENT]]-PaymentSchedule45[[#This Row],[INTEREST]],"")</f>
        <v>103.99015545551833</v>
      </c>
      <c r="I66" s="32">
        <f>IF(PaymentSchedule45[[#This Row],[PMT NO]]&lt;&gt;"",PaymentSchedule45[[#This Row],[BEGINNING BALANCE]]*(InterestRate/PaymentsPerYear),"")</f>
        <v>1190.2527880295825</v>
      </c>
      <c r="J6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145641.2491951056</v>
      </c>
      <c r="K66" s="32">
        <f>IF(PaymentSchedule45[[#This Row],[PMT NO]]&lt;&gt;"",SUM(INDEX(PaymentSchedule45[INTEREST],1,1):PaymentSchedule45[[#This Row],[INTEREST]]),"")</f>
        <v>61647.639312845706</v>
      </c>
    </row>
    <row r="67" spans="2:11" x14ac:dyDescent="0.3">
      <c r="B67" s="30">
        <f>IF(LoanIsGood,IF(ROW()-ROW(PaymentSchedule45[[#Headers],[PMT NO]])&gt;ScheduledNumberOfPayments,"",ROW()-ROW(PaymentSchedule45[[#Headers],[PMT NO]])),"")</f>
        <v>52</v>
      </c>
      <c r="C67" s="31">
        <f>IF(PaymentSchedule45[[#This Row],[PMT NO]]&lt;&gt;"",EOMONTH(LoanStartDate,ROW(PaymentSchedule45[[#This Row],[PMT NO]])-ROW(PaymentSchedule45[[#Headers],[PMT NO]])-2)+DAY(LoanStartDate),"")</f>
        <v>44927</v>
      </c>
      <c r="D67" s="32">
        <f>IF(PaymentSchedule45[[#This Row],[PMT NO]]&lt;&gt;"",IF(ROW()-ROW(PaymentSchedule45[[#Headers],[BEGINNING BALANCE]])=1,LoanAmount,INDEX(PaymentSchedule45[ENDING BALANCE],ROW()-ROW(PaymentSchedule45[[#Headers],[BEGINNING BALANCE]])-1)),"")</f>
        <v>145641.2491951056</v>
      </c>
      <c r="E67" s="32">
        <f>IF(PaymentSchedule45[[#This Row],[PMT NO]]&lt;&gt;"",ScheduledPayment,"")</f>
        <v>1294.2429434851008</v>
      </c>
      <c r="F6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6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67" s="32">
        <f>IF(PaymentSchedule45[[#This Row],[PMT NO]]&lt;&gt;"",PaymentSchedule45[[#This Row],[TOTAL PAYMENT]]-PaymentSchedule45[[#This Row],[INTEREST]],"")</f>
        <v>104.83940839173829</v>
      </c>
      <c r="I67" s="32">
        <f>IF(PaymentSchedule45[[#This Row],[PMT NO]]&lt;&gt;"",PaymentSchedule45[[#This Row],[BEGINNING BALANCE]]*(InterestRate/PaymentsPerYear),"")</f>
        <v>1189.4035350933625</v>
      </c>
      <c r="J6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145536.40978671386</v>
      </c>
      <c r="K67" s="32">
        <f>IF(PaymentSchedule45[[#This Row],[PMT NO]]&lt;&gt;"",SUM(INDEX(PaymentSchedule45[INTEREST],1,1):PaymentSchedule45[[#This Row],[INTEREST]]),"")</f>
        <v>62837.042847939068</v>
      </c>
    </row>
    <row r="68" spans="2:11" x14ac:dyDescent="0.3">
      <c r="B68" s="30">
        <f>IF(LoanIsGood,IF(ROW()-ROW(PaymentSchedule45[[#Headers],[PMT NO]])&gt;ScheduledNumberOfPayments,"",ROW()-ROW(PaymentSchedule45[[#Headers],[PMT NO]])),"")</f>
        <v>53</v>
      </c>
      <c r="C68" s="31">
        <f>IF(PaymentSchedule45[[#This Row],[PMT NO]]&lt;&gt;"",EOMONTH(LoanStartDate,ROW(PaymentSchedule45[[#This Row],[PMT NO]])-ROW(PaymentSchedule45[[#Headers],[PMT NO]])-2)+DAY(LoanStartDate),"")</f>
        <v>44958</v>
      </c>
      <c r="D68" s="32">
        <f>IF(PaymentSchedule45[[#This Row],[PMT NO]]&lt;&gt;"",IF(ROW()-ROW(PaymentSchedule45[[#Headers],[BEGINNING BALANCE]])=1,LoanAmount,INDEX(PaymentSchedule45[ENDING BALANCE],ROW()-ROW(PaymentSchedule45[[#Headers],[BEGINNING BALANCE]])-1)),"")</f>
        <v>145536.40978671386</v>
      </c>
      <c r="E68" s="32">
        <f>IF(PaymentSchedule45[[#This Row],[PMT NO]]&lt;&gt;"",ScheduledPayment,"")</f>
        <v>1294.2429434851008</v>
      </c>
      <c r="F6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6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68" s="32">
        <f>IF(PaymentSchedule45[[#This Row],[PMT NO]]&lt;&gt;"",PaymentSchedule45[[#This Row],[TOTAL PAYMENT]]-PaymentSchedule45[[#This Row],[INTEREST]],"")</f>
        <v>105.69559689360403</v>
      </c>
      <c r="I68" s="32">
        <f>IF(PaymentSchedule45[[#This Row],[PMT NO]]&lt;&gt;"",PaymentSchedule45[[#This Row],[BEGINNING BALANCE]]*(InterestRate/PaymentsPerYear),"")</f>
        <v>1188.5473465914968</v>
      </c>
      <c r="J6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145430.71418982025</v>
      </c>
      <c r="K68" s="32">
        <f>IF(PaymentSchedule45[[#This Row],[PMT NO]]&lt;&gt;"",SUM(INDEX(PaymentSchedule45[INTEREST],1,1):PaymentSchedule45[[#This Row],[INTEREST]]),"")</f>
        <v>64025.590194530567</v>
      </c>
    </row>
    <row r="69" spans="2:11" x14ac:dyDescent="0.3">
      <c r="B69" s="30">
        <f>IF(LoanIsGood,IF(ROW()-ROW(PaymentSchedule45[[#Headers],[PMT NO]])&gt;ScheduledNumberOfPayments,"",ROW()-ROW(PaymentSchedule45[[#Headers],[PMT NO]])),"")</f>
        <v>54</v>
      </c>
      <c r="C69" s="31">
        <f>IF(PaymentSchedule45[[#This Row],[PMT NO]]&lt;&gt;"",EOMONTH(LoanStartDate,ROW(PaymentSchedule45[[#This Row],[PMT NO]])-ROW(PaymentSchedule45[[#Headers],[PMT NO]])-2)+DAY(LoanStartDate),"")</f>
        <v>44986</v>
      </c>
      <c r="D69" s="32">
        <f>IF(PaymentSchedule45[[#This Row],[PMT NO]]&lt;&gt;"",IF(ROW()-ROW(PaymentSchedule45[[#Headers],[BEGINNING BALANCE]])=1,LoanAmount,INDEX(PaymentSchedule45[ENDING BALANCE],ROW()-ROW(PaymentSchedule45[[#Headers],[BEGINNING BALANCE]])-1)),"")</f>
        <v>145430.71418982025</v>
      </c>
      <c r="E69" s="32">
        <f>IF(PaymentSchedule45[[#This Row],[PMT NO]]&lt;&gt;"",ScheduledPayment,"")</f>
        <v>1294.2429434851008</v>
      </c>
      <c r="F6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6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69" s="32">
        <f>IF(PaymentSchedule45[[#This Row],[PMT NO]]&lt;&gt;"",PaymentSchedule45[[#This Row],[TOTAL PAYMENT]]-PaymentSchedule45[[#This Row],[INTEREST]],"")</f>
        <v>106.55877760156864</v>
      </c>
      <c r="I69" s="32">
        <f>IF(PaymentSchedule45[[#This Row],[PMT NO]]&lt;&gt;"",PaymentSchedule45[[#This Row],[BEGINNING BALANCE]]*(InterestRate/PaymentsPerYear),"")</f>
        <v>1187.6841658835322</v>
      </c>
      <c r="J6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145324.15541221868</v>
      </c>
      <c r="K69" s="32">
        <f>IF(PaymentSchedule45[[#This Row],[PMT NO]]&lt;&gt;"",SUM(INDEX(PaymentSchedule45[INTEREST],1,1):PaymentSchedule45[[#This Row],[INTEREST]]),"")</f>
        <v>65213.2743604141</v>
      </c>
    </row>
    <row r="70" spans="2:11" x14ac:dyDescent="0.3">
      <c r="B70" s="30">
        <f>IF(LoanIsGood,IF(ROW()-ROW(PaymentSchedule45[[#Headers],[PMT NO]])&gt;ScheduledNumberOfPayments,"",ROW()-ROW(PaymentSchedule45[[#Headers],[PMT NO]])),"")</f>
        <v>55</v>
      </c>
      <c r="C70" s="31">
        <f>IF(PaymentSchedule45[[#This Row],[PMT NO]]&lt;&gt;"",EOMONTH(LoanStartDate,ROW(PaymentSchedule45[[#This Row],[PMT NO]])-ROW(PaymentSchedule45[[#Headers],[PMT NO]])-2)+DAY(LoanStartDate),"")</f>
        <v>45017</v>
      </c>
      <c r="D70" s="32">
        <f>IF(PaymentSchedule45[[#This Row],[PMT NO]]&lt;&gt;"",IF(ROW()-ROW(PaymentSchedule45[[#Headers],[BEGINNING BALANCE]])=1,LoanAmount,INDEX(PaymentSchedule45[ENDING BALANCE],ROW()-ROW(PaymentSchedule45[[#Headers],[BEGINNING BALANCE]])-1)),"")</f>
        <v>145324.15541221868</v>
      </c>
      <c r="E70" s="32">
        <f>IF(PaymentSchedule45[[#This Row],[PMT NO]]&lt;&gt;"",ScheduledPayment,"")</f>
        <v>1294.2429434851008</v>
      </c>
      <c r="F7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7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70" s="32">
        <f>IF(PaymentSchedule45[[#This Row],[PMT NO]]&lt;&gt;"",PaymentSchedule45[[#This Row],[TOTAL PAYMENT]]-PaymentSchedule45[[#This Row],[INTEREST]],"")</f>
        <v>107.42900761864803</v>
      </c>
      <c r="I70" s="32">
        <f>IF(PaymentSchedule45[[#This Row],[PMT NO]]&lt;&gt;"",PaymentSchedule45[[#This Row],[BEGINNING BALANCE]]*(InterestRate/PaymentsPerYear),"")</f>
        <v>1186.8139358664528</v>
      </c>
      <c r="J7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145216.72640460002</v>
      </c>
      <c r="K70" s="32">
        <f>IF(PaymentSchedule45[[#This Row],[PMT NO]]&lt;&gt;"",SUM(INDEX(PaymentSchedule45[INTEREST],1,1):PaymentSchedule45[[#This Row],[INTEREST]]),"")</f>
        <v>66400.088296280548</v>
      </c>
    </row>
    <row r="71" spans="2:11" x14ac:dyDescent="0.3">
      <c r="B71" s="30">
        <f>IF(LoanIsGood,IF(ROW()-ROW(PaymentSchedule45[[#Headers],[PMT NO]])&gt;ScheduledNumberOfPayments,"",ROW()-ROW(PaymentSchedule45[[#Headers],[PMT NO]])),"")</f>
        <v>56</v>
      </c>
      <c r="C71" s="31">
        <f>IF(PaymentSchedule45[[#This Row],[PMT NO]]&lt;&gt;"",EOMONTH(LoanStartDate,ROW(PaymentSchedule45[[#This Row],[PMT NO]])-ROW(PaymentSchedule45[[#Headers],[PMT NO]])-2)+DAY(LoanStartDate),"")</f>
        <v>45047</v>
      </c>
      <c r="D71" s="32">
        <f>IF(PaymentSchedule45[[#This Row],[PMT NO]]&lt;&gt;"",IF(ROW()-ROW(PaymentSchedule45[[#Headers],[BEGINNING BALANCE]])=1,LoanAmount,INDEX(PaymentSchedule45[ENDING BALANCE],ROW()-ROW(PaymentSchedule45[[#Headers],[BEGINNING BALANCE]])-1)),"")</f>
        <v>145216.72640460002</v>
      </c>
      <c r="E71" s="32">
        <f>IF(PaymentSchedule45[[#This Row],[PMT NO]]&lt;&gt;"",ScheduledPayment,"")</f>
        <v>1294.2429434851008</v>
      </c>
      <c r="F7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7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71" s="32">
        <f>IF(PaymentSchedule45[[#This Row],[PMT NO]]&lt;&gt;"",PaymentSchedule45[[#This Row],[TOTAL PAYMENT]]-PaymentSchedule45[[#This Row],[INTEREST]],"")</f>
        <v>108.30634451420042</v>
      </c>
      <c r="I71" s="32">
        <f>IF(PaymentSchedule45[[#This Row],[PMT NO]]&lt;&gt;"",PaymentSchedule45[[#This Row],[BEGINNING BALANCE]]*(InterestRate/PaymentsPerYear),"")</f>
        <v>1185.9365989709004</v>
      </c>
      <c r="J7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145108.42006008583</v>
      </c>
      <c r="K71" s="32">
        <f>IF(PaymentSchedule45[[#This Row],[PMT NO]]&lt;&gt;"",SUM(INDEX(PaymentSchedule45[INTEREST],1,1):PaymentSchedule45[[#This Row],[INTEREST]]),"")</f>
        <v>67586.024895251452</v>
      </c>
    </row>
    <row r="72" spans="2:11" x14ac:dyDescent="0.3">
      <c r="B72" s="30">
        <f>IF(LoanIsGood,IF(ROW()-ROW(PaymentSchedule45[[#Headers],[PMT NO]])&gt;ScheduledNumberOfPayments,"",ROW()-ROW(PaymentSchedule45[[#Headers],[PMT NO]])),"")</f>
        <v>57</v>
      </c>
      <c r="C72" s="31">
        <f>IF(PaymentSchedule45[[#This Row],[PMT NO]]&lt;&gt;"",EOMONTH(LoanStartDate,ROW(PaymentSchedule45[[#This Row],[PMT NO]])-ROW(PaymentSchedule45[[#Headers],[PMT NO]])-2)+DAY(LoanStartDate),"")</f>
        <v>45078</v>
      </c>
      <c r="D72" s="32">
        <f>IF(PaymentSchedule45[[#This Row],[PMT NO]]&lt;&gt;"",IF(ROW()-ROW(PaymentSchedule45[[#Headers],[BEGINNING BALANCE]])=1,LoanAmount,INDEX(PaymentSchedule45[ENDING BALANCE],ROW()-ROW(PaymentSchedule45[[#Headers],[BEGINNING BALANCE]])-1)),"")</f>
        <v>145108.42006008583</v>
      </c>
      <c r="E72" s="32">
        <f>IF(PaymentSchedule45[[#This Row],[PMT NO]]&lt;&gt;"",ScheduledPayment,"")</f>
        <v>1294.2429434851008</v>
      </c>
      <c r="F7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7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72" s="32">
        <f>IF(PaymentSchedule45[[#This Row],[PMT NO]]&lt;&gt;"",PaymentSchedule45[[#This Row],[TOTAL PAYMENT]]-PaymentSchedule45[[#This Row],[INTEREST]],"")</f>
        <v>109.19084632773297</v>
      </c>
      <c r="I72" s="32">
        <f>IF(PaymentSchedule45[[#This Row],[PMT NO]]&lt;&gt;"",PaymentSchedule45[[#This Row],[BEGINNING BALANCE]]*(InterestRate/PaymentsPerYear),"")</f>
        <v>1185.0520971573678</v>
      </c>
      <c r="J7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144999.22921375811</v>
      </c>
      <c r="K72" s="32">
        <f>IF(PaymentSchedule45[[#This Row],[PMT NO]]&lt;&gt;"",SUM(INDEX(PaymentSchedule45[INTEREST],1,1):PaymentSchedule45[[#This Row],[INTEREST]]),"")</f>
        <v>68771.076992408824</v>
      </c>
    </row>
    <row r="73" spans="2:11" x14ac:dyDescent="0.3">
      <c r="B73" s="30">
        <f>IF(LoanIsGood,IF(ROW()-ROW(PaymentSchedule45[[#Headers],[PMT NO]])&gt;ScheduledNumberOfPayments,"",ROW()-ROW(PaymentSchedule45[[#Headers],[PMT NO]])),"")</f>
        <v>58</v>
      </c>
      <c r="C73" s="31">
        <f>IF(PaymentSchedule45[[#This Row],[PMT NO]]&lt;&gt;"",EOMONTH(LoanStartDate,ROW(PaymentSchedule45[[#This Row],[PMT NO]])-ROW(PaymentSchedule45[[#Headers],[PMT NO]])-2)+DAY(LoanStartDate),"")</f>
        <v>45108</v>
      </c>
      <c r="D73" s="32">
        <f>IF(PaymentSchedule45[[#This Row],[PMT NO]]&lt;&gt;"",IF(ROW()-ROW(PaymentSchedule45[[#Headers],[BEGINNING BALANCE]])=1,LoanAmount,INDEX(PaymentSchedule45[ENDING BALANCE],ROW()-ROW(PaymentSchedule45[[#Headers],[BEGINNING BALANCE]])-1)),"")</f>
        <v>144999.22921375811</v>
      </c>
      <c r="E73" s="32">
        <f>IF(PaymentSchedule45[[#This Row],[PMT NO]]&lt;&gt;"",ScheduledPayment,"")</f>
        <v>1294.2429434851008</v>
      </c>
      <c r="F7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7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73" s="32">
        <f>IF(PaymentSchedule45[[#This Row],[PMT NO]]&lt;&gt;"",PaymentSchedule45[[#This Row],[TOTAL PAYMENT]]-PaymentSchedule45[[#This Row],[INTEREST]],"")</f>
        <v>110.08257157274284</v>
      </c>
      <c r="I73" s="32">
        <f>IF(PaymentSchedule45[[#This Row],[PMT NO]]&lt;&gt;"",PaymentSchedule45[[#This Row],[BEGINNING BALANCE]]*(InterestRate/PaymentsPerYear),"")</f>
        <v>1184.160371912358</v>
      </c>
      <c r="J7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144889.14664218537</v>
      </c>
      <c r="K73" s="32">
        <f>IF(PaymentSchedule45[[#This Row],[PMT NO]]&lt;&gt;"",SUM(INDEX(PaymentSchedule45[INTEREST],1,1):PaymentSchedule45[[#This Row],[INTEREST]]),"")</f>
        <v>69955.237364321176</v>
      </c>
    </row>
    <row r="74" spans="2:11" x14ac:dyDescent="0.3">
      <c r="B74" s="30">
        <f>IF(LoanIsGood,IF(ROW()-ROW(PaymentSchedule45[[#Headers],[PMT NO]])&gt;ScheduledNumberOfPayments,"",ROW()-ROW(PaymentSchedule45[[#Headers],[PMT NO]])),"")</f>
        <v>59</v>
      </c>
      <c r="C74" s="31">
        <f>IF(PaymentSchedule45[[#This Row],[PMT NO]]&lt;&gt;"",EOMONTH(LoanStartDate,ROW(PaymentSchedule45[[#This Row],[PMT NO]])-ROW(PaymentSchedule45[[#Headers],[PMT NO]])-2)+DAY(LoanStartDate),"")</f>
        <v>45139</v>
      </c>
      <c r="D74" s="32">
        <f>IF(PaymentSchedule45[[#This Row],[PMT NO]]&lt;&gt;"",IF(ROW()-ROW(PaymentSchedule45[[#Headers],[BEGINNING BALANCE]])=1,LoanAmount,INDEX(PaymentSchedule45[ENDING BALANCE],ROW()-ROW(PaymentSchedule45[[#Headers],[BEGINNING BALANCE]])-1)),"")</f>
        <v>144889.14664218537</v>
      </c>
      <c r="E74" s="32">
        <f>IF(PaymentSchedule45[[#This Row],[PMT NO]]&lt;&gt;"",ScheduledPayment,"")</f>
        <v>1294.2429434851008</v>
      </c>
      <c r="F7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7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74" s="32">
        <f>IF(PaymentSchedule45[[#This Row],[PMT NO]]&lt;&gt;"",PaymentSchedule45[[#This Row],[TOTAL PAYMENT]]-PaymentSchedule45[[#This Row],[INTEREST]],"")</f>
        <v>110.98157924058683</v>
      </c>
      <c r="I74" s="32">
        <f>IF(PaymentSchedule45[[#This Row],[PMT NO]]&lt;&gt;"",PaymentSchedule45[[#This Row],[BEGINNING BALANCE]]*(InterestRate/PaymentsPerYear),"")</f>
        <v>1183.261364244514</v>
      </c>
      <c r="J7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144778.16506294478</v>
      </c>
      <c r="K74" s="32">
        <f>IF(PaymentSchedule45[[#This Row],[PMT NO]]&lt;&gt;"",SUM(INDEX(PaymentSchedule45[INTEREST],1,1):PaymentSchedule45[[#This Row],[INTEREST]]),"")</f>
        <v>71138.498728565697</v>
      </c>
    </row>
    <row r="75" spans="2:11" x14ac:dyDescent="0.3">
      <c r="B75" s="30">
        <f>IF(LoanIsGood,IF(ROW()-ROW(PaymentSchedule45[[#Headers],[PMT NO]])&gt;ScheduledNumberOfPayments,"",ROW()-ROW(PaymentSchedule45[[#Headers],[PMT NO]])),"")</f>
        <v>60</v>
      </c>
      <c r="C75" s="31">
        <f>IF(PaymentSchedule45[[#This Row],[PMT NO]]&lt;&gt;"",EOMONTH(LoanStartDate,ROW(PaymentSchedule45[[#This Row],[PMT NO]])-ROW(PaymentSchedule45[[#Headers],[PMT NO]])-2)+DAY(LoanStartDate),"")</f>
        <v>45170</v>
      </c>
      <c r="D75" s="32">
        <f>IF(PaymentSchedule45[[#This Row],[PMT NO]]&lt;&gt;"",IF(ROW()-ROW(PaymentSchedule45[[#Headers],[BEGINNING BALANCE]])=1,LoanAmount,INDEX(PaymentSchedule45[ENDING BALANCE],ROW()-ROW(PaymentSchedule45[[#Headers],[BEGINNING BALANCE]])-1)),"")</f>
        <v>144778.16506294478</v>
      </c>
      <c r="E75" s="32">
        <f>IF(PaymentSchedule45[[#This Row],[PMT NO]]&lt;&gt;"",ScheduledPayment,"")</f>
        <v>1294.2429434851008</v>
      </c>
      <c r="F7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7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75" s="32">
        <f>IF(PaymentSchedule45[[#This Row],[PMT NO]]&lt;&gt;"",PaymentSchedule45[[#This Row],[TOTAL PAYMENT]]-PaymentSchedule45[[#This Row],[INTEREST]],"")</f>
        <v>111.88792880438496</v>
      </c>
      <c r="I75" s="32">
        <f>IF(PaymentSchedule45[[#This Row],[PMT NO]]&lt;&gt;"",PaymentSchedule45[[#This Row],[BEGINNING BALANCE]]*(InterestRate/PaymentsPerYear),"")</f>
        <v>1182.3550146807158</v>
      </c>
      <c r="J7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144666.2771341404</v>
      </c>
      <c r="K75" s="32">
        <f>IF(PaymentSchedule45[[#This Row],[PMT NO]]&lt;&gt;"",SUM(INDEX(PaymentSchedule45[INTEREST],1,1):PaymentSchedule45[[#This Row],[INTEREST]]),"")</f>
        <v>72320.853743246407</v>
      </c>
    </row>
    <row r="76" spans="2:11" x14ac:dyDescent="0.3">
      <c r="B76" s="30">
        <f>IF(LoanIsGood,IF(ROW()-ROW(PaymentSchedule45[[#Headers],[PMT NO]])&gt;ScheduledNumberOfPayments,"",ROW()-ROW(PaymentSchedule45[[#Headers],[PMT NO]])),"")</f>
        <v>61</v>
      </c>
      <c r="C76" s="31">
        <f>IF(PaymentSchedule45[[#This Row],[PMT NO]]&lt;&gt;"",EOMONTH(LoanStartDate,ROW(PaymentSchedule45[[#This Row],[PMT NO]])-ROW(PaymentSchedule45[[#Headers],[PMT NO]])-2)+DAY(LoanStartDate),"")</f>
        <v>45200</v>
      </c>
      <c r="D76" s="32">
        <f>IF(PaymentSchedule45[[#This Row],[PMT NO]]&lt;&gt;"",IF(ROW()-ROW(PaymentSchedule45[[#Headers],[BEGINNING BALANCE]])=1,LoanAmount,INDEX(PaymentSchedule45[ENDING BALANCE],ROW()-ROW(PaymentSchedule45[[#Headers],[BEGINNING BALANCE]])-1)),"")</f>
        <v>144666.2771341404</v>
      </c>
      <c r="E76" s="32">
        <f>IF(PaymentSchedule45[[#This Row],[PMT NO]]&lt;&gt;"",ScheduledPayment,"")</f>
        <v>1294.2429434851008</v>
      </c>
      <c r="F7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7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76" s="32">
        <f>IF(PaymentSchedule45[[#This Row],[PMT NO]]&lt;&gt;"",PaymentSchedule45[[#This Row],[TOTAL PAYMENT]]-PaymentSchedule45[[#This Row],[INTEREST]],"")</f>
        <v>112.80168022295402</v>
      </c>
      <c r="I76" s="32">
        <f>IF(PaymentSchedule45[[#This Row],[PMT NO]]&lt;&gt;"",PaymentSchedule45[[#This Row],[BEGINNING BALANCE]]*(InterestRate/PaymentsPerYear),"")</f>
        <v>1181.4412632621468</v>
      </c>
      <c r="J7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144553.47545391746</v>
      </c>
      <c r="K76" s="32">
        <f>IF(PaymentSchedule45[[#This Row],[PMT NO]]&lt;&gt;"",SUM(INDEX(PaymentSchedule45[INTEREST],1,1):PaymentSchedule45[[#This Row],[INTEREST]]),"")</f>
        <v>73502.295006508561</v>
      </c>
    </row>
    <row r="77" spans="2:11" x14ac:dyDescent="0.3">
      <c r="B77" s="30">
        <f>IF(LoanIsGood,IF(ROW()-ROW(PaymentSchedule45[[#Headers],[PMT NO]])&gt;ScheduledNumberOfPayments,"",ROW()-ROW(PaymentSchedule45[[#Headers],[PMT NO]])),"")</f>
        <v>62</v>
      </c>
      <c r="C77" s="31">
        <f>IF(PaymentSchedule45[[#This Row],[PMT NO]]&lt;&gt;"",EOMONTH(LoanStartDate,ROW(PaymentSchedule45[[#This Row],[PMT NO]])-ROW(PaymentSchedule45[[#Headers],[PMT NO]])-2)+DAY(LoanStartDate),"")</f>
        <v>45231</v>
      </c>
      <c r="D77" s="32">
        <f>IF(PaymentSchedule45[[#This Row],[PMT NO]]&lt;&gt;"",IF(ROW()-ROW(PaymentSchedule45[[#Headers],[BEGINNING BALANCE]])=1,LoanAmount,INDEX(PaymentSchedule45[ENDING BALANCE],ROW()-ROW(PaymentSchedule45[[#Headers],[BEGINNING BALANCE]])-1)),"")</f>
        <v>144553.47545391746</v>
      </c>
      <c r="E77" s="32">
        <f>IF(PaymentSchedule45[[#This Row],[PMT NO]]&lt;&gt;"",ScheduledPayment,"")</f>
        <v>1294.2429434851008</v>
      </c>
      <c r="F7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7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77" s="32">
        <f>IF(PaymentSchedule45[[#This Row],[PMT NO]]&lt;&gt;"",PaymentSchedule45[[#This Row],[TOTAL PAYMENT]]-PaymentSchedule45[[#This Row],[INTEREST]],"")</f>
        <v>113.7228939447748</v>
      </c>
      <c r="I77" s="32">
        <f>IF(PaymentSchedule45[[#This Row],[PMT NO]]&lt;&gt;"",PaymentSchedule45[[#This Row],[BEGINNING BALANCE]]*(InterestRate/PaymentsPerYear),"")</f>
        <v>1180.520049540326</v>
      </c>
      <c r="J7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144439.75255997269</v>
      </c>
      <c r="K77" s="32">
        <f>IF(PaymentSchedule45[[#This Row],[PMT NO]]&lt;&gt;"",SUM(INDEX(PaymentSchedule45[INTEREST],1,1):PaymentSchedule45[[#This Row],[INTEREST]]),"")</f>
        <v>74682.815056048887</v>
      </c>
    </row>
    <row r="78" spans="2:11" x14ac:dyDescent="0.3">
      <c r="B78" s="30">
        <f>IF(LoanIsGood,IF(ROW()-ROW(PaymentSchedule45[[#Headers],[PMT NO]])&gt;ScheduledNumberOfPayments,"",ROW()-ROW(PaymentSchedule45[[#Headers],[PMT NO]])),"")</f>
        <v>63</v>
      </c>
      <c r="C78" s="31">
        <f>IF(PaymentSchedule45[[#This Row],[PMT NO]]&lt;&gt;"",EOMONTH(LoanStartDate,ROW(PaymentSchedule45[[#This Row],[PMT NO]])-ROW(PaymentSchedule45[[#Headers],[PMT NO]])-2)+DAY(LoanStartDate),"")</f>
        <v>45261</v>
      </c>
      <c r="D78" s="32">
        <f>IF(PaymentSchedule45[[#This Row],[PMT NO]]&lt;&gt;"",IF(ROW()-ROW(PaymentSchedule45[[#Headers],[BEGINNING BALANCE]])=1,LoanAmount,INDEX(PaymentSchedule45[ENDING BALANCE],ROW()-ROW(PaymentSchedule45[[#Headers],[BEGINNING BALANCE]])-1)),"")</f>
        <v>144439.75255997269</v>
      </c>
      <c r="E78" s="32">
        <f>IF(PaymentSchedule45[[#This Row],[PMT NO]]&lt;&gt;"",ScheduledPayment,"")</f>
        <v>1294.2429434851008</v>
      </c>
      <c r="F7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7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78" s="32">
        <f>IF(PaymentSchedule45[[#This Row],[PMT NO]]&lt;&gt;"",PaymentSchedule45[[#This Row],[TOTAL PAYMENT]]-PaymentSchedule45[[#This Row],[INTEREST]],"")</f>
        <v>114.65163091199042</v>
      </c>
      <c r="I78" s="32">
        <f>IF(PaymentSchedule45[[#This Row],[PMT NO]]&lt;&gt;"",PaymentSchedule45[[#This Row],[BEGINNING BALANCE]]*(InterestRate/PaymentsPerYear),"")</f>
        <v>1179.5913125731104</v>
      </c>
      <c r="J7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144325.10092906072</v>
      </c>
      <c r="K78" s="32">
        <f>IF(PaymentSchedule45[[#This Row],[PMT NO]]&lt;&gt;"",SUM(INDEX(PaymentSchedule45[INTEREST],1,1):PaymentSchedule45[[#This Row],[INTEREST]]),"")</f>
        <v>75862.406368622003</v>
      </c>
    </row>
    <row r="79" spans="2:11" x14ac:dyDescent="0.3">
      <c r="B79" s="30">
        <f>IF(LoanIsGood,IF(ROW()-ROW(PaymentSchedule45[[#Headers],[PMT NO]])&gt;ScheduledNumberOfPayments,"",ROW()-ROW(PaymentSchedule45[[#Headers],[PMT NO]])),"")</f>
        <v>64</v>
      </c>
      <c r="C79" s="31">
        <f>IF(PaymentSchedule45[[#This Row],[PMT NO]]&lt;&gt;"",EOMONTH(LoanStartDate,ROW(PaymentSchedule45[[#This Row],[PMT NO]])-ROW(PaymentSchedule45[[#Headers],[PMT NO]])-2)+DAY(LoanStartDate),"")</f>
        <v>45292</v>
      </c>
      <c r="D79" s="32">
        <f>IF(PaymentSchedule45[[#This Row],[PMT NO]]&lt;&gt;"",IF(ROW()-ROW(PaymentSchedule45[[#Headers],[BEGINNING BALANCE]])=1,LoanAmount,INDEX(PaymentSchedule45[ENDING BALANCE],ROW()-ROW(PaymentSchedule45[[#Headers],[BEGINNING BALANCE]])-1)),"")</f>
        <v>144325.10092906072</v>
      </c>
      <c r="E79" s="32">
        <f>IF(PaymentSchedule45[[#This Row],[PMT NO]]&lt;&gt;"",ScheduledPayment,"")</f>
        <v>1294.2429434851008</v>
      </c>
      <c r="F7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7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79" s="32">
        <f>IF(PaymentSchedule45[[#This Row],[PMT NO]]&lt;&gt;"",PaymentSchedule45[[#This Row],[TOTAL PAYMENT]]-PaymentSchedule45[[#This Row],[INTEREST]],"")</f>
        <v>115.58795256443818</v>
      </c>
      <c r="I79" s="32">
        <f>IF(PaymentSchedule45[[#This Row],[PMT NO]]&lt;&gt;"",PaymentSchedule45[[#This Row],[BEGINNING BALANCE]]*(InterestRate/PaymentsPerYear),"")</f>
        <v>1178.6549909206626</v>
      </c>
      <c r="J7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144209.51297649628</v>
      </c>
      <c r="K79" s="32">
        <f>IF(PaymentSchedule45[[#This Row],[PMT NO]]&lt;&gt;"",SUM(INDEX(PaymentSchedule45[INTEREST],1,1):PaymentSchedule45[[#This Row],[INTEREST]]),"")</f>
        <v>77041.061359542669</v>
      </c>
    </row>
    <row r="80" spans="2:11" x14ac:dyDescent="0.3">
      <c r="B80" s="30">
        <f>IF(LoanIsGood,IF(ROW()-ROW(PaymentSchedule45[[#Headers],[PMT NO]])&gt;ScheduledNumberOfPayments,"",ROW()-ROW(PaymentSchedule45[[#Headers],[PMT NO]])),"")</f>
        <v>65</v>
      </c>
      <c r="C80" s="31">
        <f>IF(PaymentSchedule45[[#This Row],[PMT NO]]&lt;&gt;"",EOMONTH(LoanStartDate,ROW(PaymentSchedule45[[#This Row],[PMT NO]])-ROW(PaymentSchedule45[[#Headers],[PMT NO]])-2)+DAY(LoanStartDate),"")</f>
        <v>45323</v>
      </c>
      <c r="D80" s="32">
        <f>IF(PaymentSchedule45[[#This Row],[PMT NO]]&lt;&gt;"",IF(ROW()-ROW(PaymentSchedule45[[#Headers],[BEGINNING BALANCE]])=1,LoanAmount,INDEX(PaymentSchedule45[ENDING BALANCE],ROW()-ROW(PaymentSchedule45[[#Headers],[BEGINNING BALANCE]])-1)),"")</f>
        <v>144209.51297649628</v>
      </c>
      <c r="E80" s="32">
        <f>IF(PaymentSchedule45[[#This Row],[PMT NO]]&lt;&gt;"",ScheduledPayment,"")</f>
        <v>1294.2429434851008</v>
      </c>
      <c r="F8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8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80" s="32">
        <f>IF(PaymentSchedule45[[#This Row],[PMT NO]]&lt;&gt;"",PaymentSchedule45[[#This Row],[TOTAL PAYMENT]]-PaymentSchedule45[[#This Row],[INTEREST]],"")</f>
        <v>116.53192084371449</v>
      </c>
      <c r="I80" s="32">
        <f>IF(PaymentSchedule45[[#This Row],[PMT NO]]&lt;&gt;"",PaymentSchedule45[[#This Row],[BEGINNING BALANCE]]*(InterestRate/PaymentsPerYear),"")</f>
        <v>1177.7110226413863</v>
      </c>
      <c r="J8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144092.98105565255</v>
      </c>
      <c r="K80" s="32">
        <f>IF(PaymentSchedule45[[#This Row],[PMT NO]]&lt;&gt;"",SUM(INDEX(PaymentSchedule45[INTEREST],1,1):PaymentSchedule45[[#This Row],[INTEREST]]),"")</f>
        <v>78218.772382184063</v>
      </c>
    </row>
    <row r="81" spans="2:11" x14ac:dyDescent="0.3">
      <c r="B81" s="30">
        <f>IF(LoanIsGood,IF(ROW()-ROW(PaymentSchedule45[[#Headers],[PMT NO]])&gt;ScheduledNumberOfPayments,"",ROW()-ROW(PaymentSchedule45[[#Headers],[PMT NO]])),"")</f>
        <v>66</v>
      </c>
      <c r="C81" s="31">
        <f>IF(PaymentSchedule45[[#This Row],[PMT NO]]&lt;&gt;"",EOMONTH(LoanStartDate,ROW(PaymentSchedule45[[#This Row],[PMT NO]])-ROW(PaymentSchedule45[[#Headers],[PMT NO]])-2)+DAY(LoanStartDate),"")</f>
        <v>45352</v>
      </c>
      <c r="D81" s="32">
        <f>IF(PaymentSchedule45[[#This Row],[PMT NO]]&lt;&gt;"",IF(ROW()-ROW(PaymentSchedule45[[#Headers],[BEGINNING BALANCE]])=1,LoanAmount,INDEX(PaymentSchedule45[ENDING BALANCE],ROW()-ROW(PaymentSchedule45[[#Headers],[BEGINNING BALANCE]])-1)),"")</f>
        <v>144092.98105565255</v>
      </c>
      <c r="E81" s="32">
        <f>IF(PaymentSchedule45[[#This Row],[PMT NO]]&lt;&gt;"",ScheduledPayment,"")</f>
        <v>1294.2429434851008</v>
      </c>
      <c r="F8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8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81" s="32">
        <f>IF(PaymentSchedule45[[#This Row],[PMT NO]]&lt;&gt;"",PaymentSchedule45[[#This Row],[TOTAL PAYMENT]]-PaymentSchedule45[[#This Row],[INTEREST]],"")</f>
        <v>117.48359819727148</v>
      </c>
      <c r="I81" s="32">
        <f>IF(PaymentSchedule45[[#This Row],[PMT NO]]&lt;&gt;"",PaymentSchedule45[[#This Row],[BEGINNING BALANCE]]*(InterestRate/PaymentsPerYear),"")</f>
        <v>1176.7593452878293</v>
      </c>
      <c r="J8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143975.49745745529</v>
      </c>
      <c r="K81" s="32">
        <f>IF(PaymentSchedule45[[#This Row],[PMT NO]]&lt;&gt;"",SUM(INDEX(PaymentSchedule45[INTEREST],1,1):PaymentSchedule45[[#This Row],[INTEREST]]),"")</f>
        <v>79395.531727471898</v>
      </c>
    </row>
    <row r="82" spans="2:11" x14ac:dyDescent="0.3">
      <c r="B82" s="30">
        <f>IF(LoanIsGood,IF(ROW()-ROW(PaymentSchedule45[[#Headers],[PMT NO]])&gt;ScheduledNumberOfPayments,"",ROW()-ROW(PaymentSchedule45[[#Headers],[PMT NO]])),"")</f>
        <v>67</v>
      </c>
      <c r="C82" s="31">
        <f>IF(PaymentSchedule45[[#This Row],[PMT NO]]&lt;&gt;"",EOMONTH(LoanStartDate,ROW(PaymentSchedule45[[#This Row],[PMT NO]])-ROW(PaymentSchedule45[[#Headers],[PMT NO]])-2)+DAY(LoanStartDate),"")</f>
        <v>45383</v>
      </c>
      <c r="D82" s="32">
        <f>IF(PaymentSchedule45[[#This Row],[PMT NO]]&lt;&gt;"",IF(ROW()-ROW(PaymentSchedule45[[#Headers],[BEGINNING BALANCE]])=1,LoanAmount,INDEX(PaymentSchedule45[ENDING BALANCE],ROW()-ROW(PaymentSchedule45[[#Headers],[BEGINNING BALANCE]])-1)),"")</f>
        <v>143975.49745745529</v>
      </c>
      <c r="E82" s="32">
        <f>IF(PaymentSchedule45[[#This Row],[PMT NO]]&lt;&gt;"",ScheduledPayment,"")</f>
        <v>1294.2429434851008</v>
      </c>
      <c r="F8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8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82" s="32">
        <f>IF(PaymentSchedule45[[#This Row],[PMT NO]]&lt;&gt;"",PaymentSchedule45[[#This Row],[TOTAL PAYMENT]]-PaymentSchedule45[[#This Row],[INTEREST]],"")</f>
        <v>118.44304758254907</v>
      </c>
      <c r="I82" s="32">
        <f>IF(PaymentSchedule45[[#This Row],[PMT NO]]&lt;&gt;"",PaymentSchedule45[[#This Row],[BEGINNING BALANCE]]*(InterestRate/PaymentsPerYear),"")</f>
        <v>1175.7998959025517</v>
      </c>
      <c r="J8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143857.05440987274</v>
      </c>
      <c r="K82" s="32">
        <f>IF(PaymentSchedule45[[#This Row],[PMT NO]]&lt;&gt;"",SUM(INDEX(PaymentSchedule45[INTEREST],1,1):PaymentSchedule45[[#This Row],[INTEREST]]),"")</f>
        <v>80571.331623374455</v>
      </c>
    </row>
    <row r="83" spans="2:11" x14ac:dyDescent="0.3">
      <c r="B83" s="30">
        <f>IF(LoanIsGood,IF(ROW()-ROW(PaymentSchedule45[[#Headers],[PMT NO]])&gt;ScheduledNumberOfPayments,"",ROW()-ROW(PaymentSchedule45[[#Headers],[PMT NO]])),"")</f>
        <v>68</v>
      </c>
      <c r="C83" s="31">
        <f>IF(PaymentSchedule45[[#This Row],[PMT NO]]&lt;&gt;"",EOMONTH(LoanStartDate,ROW(PaymentSchedule45[[#This Row],[PMT NO]])-ROW(PaymentSchedule45[[#Headers],[PMT NO]])-2)+DAY(LoanStartDate),"")</f>
        <v>45413</v>
      </c>
      <c r="D83" s="32">
        <f>IF(PaymentSchedule45[[#This Row],[PMT NO]]&lt;&gt;"",IF(ROW()-ROW(PaymentSchedule45[[#Headers],[BEGINNING BALANCE]])=1,LoanAmount,INDEX(PaymentSchedule45[ENDING BALANCE],ROW()-ROW(PaymentSchedule45[[#Headers],[BEGINNING BALANCE]])-1)),"")</f>
        <v>143857.05440987274</v>
      </c>
      <c r="E83" s="32">
        <f>IF(PaymentSchedule45[[#This Row],[PMT NO]]&lt;&gt;"",ScheduledPayment,"")</f>
        <v>1294.2429434851008</v>
      </c>
      <c r="F8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8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83" s="32">
        <f>IF(PaymentSchedule45[[#This Row],[PMT NO]]&lt;&gt;"",PaymentSchedule45[[#This Row],[TOTAL PAYMENT]]-PaymentSchedule45[[#This Row],[INTEREST]],"")</f>
        <v>119.41033247114001</v>
      </c>
      <c r="I83" s="32">
        <f>IF(PaymentSchedule45[[#This Row],[PMT NO]]&lt;&gt;"",PaymentSchedule45[[#This Row],[BEGINNING BALANCE]]*(InterestRate/PaymentsPerYear),"")</f>
        <v>1174.8326110139608</v>
      </c>
      <c r="J8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143737.64407740161</v>
      </c>
      <c r="K83" s="32">
        <f>IF(PaymentSchedule45[[#This Row],[PMT NO]]&lt;&gt;"",SUM(INDEX(PaymentSchedule45[INTEREST],1,1):PaymentSchedule45[[#This Row],[INTEREST]]),"")</f>
        <v>81746.164234388416</v>
      </c>
    </row>
    <row r="84" spans="2:11" x14ac:dyDescent="0.3">
      <c r="B84" s="30">
        <f>IF(LoanIsGood,IF(ROW()-ROW(PaymentSchedule45[[#Headers],[PMT NO]])&gt;ScheduledNumberOfPayments,"",ROW()-ROW(PaymentSchedule45[[#Headers],[PMT NO]])),"")</f>
        <v>69</v>
      </c>
      <c r="C84" s="31">
        <f>IF(PaymentSchedule45[[#This Row],[PMT NO]]&lt;&gt;"",EOMONTH(LoanStartDate,ROW(PaymentSchedule45[[#This Row],[PMT NO]])-ROW(PaymentSchedule45[[#Headers],[PMT NO]])-2)+DAY(LoanStartDate),"")</f>
        <v>45444</v>
      </c>
      <c r="D84" s="32">
        <f>IF(PaymentSchedule45[[#This Row],[PMT NO]]&lt;&gt;"",IF(ROW()-ROW(PaymentSchedule45[[#Headers],[BEGINNING BALANCE]])=1,LoanAmount,INDEX(PaymentSchedule45[ENDING BALANCE],ROW()-ROW(PaymentSchedule45[[#Headers],[BEGINNING BALANCE]])-1)),"")</f>
        <v>143737.64407740161</v>
      </c>
      <c r="E84" s="32">
        <f>IF(PaymentSchedule45[[#This Row],[PMT NO]]&lt;&gt;"",ScheduledPayment,"")</f>
        <v>1294.2429434851008</v>
      </c>
      <c r="F8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8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84" s="32">
        <f>IF(PaymentSchedule45[[#This Row],[PMT NO]]&lt;&gt;"",PaymentSchedule45[[#This Row],[TOTAL PAYMENT]]-PaymentSchedule45[[#This Row],[INTEREST]],"")</f>
        <v>120.38551685298762</v>
      </c>
      <c r="I84" s="32">
        <f>IF(PaymentSchedule45[[#This Row],[PMT NO]]&lt;&gt;"",PaymentSchedule45[[#This Row],[BEGINNING BALANCE]]*(InterestRate/PaymentsPerYear),"")</f>
        <v>1173.8574266321132</v>
      </c>
      <c r="J8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143617.25856054862</v>
      </c>
      <c r="K84" s="32">
        <f>IF(PaymentSchedule45[[#This Row],[PMT NO]]&lt;&gt;"",SUM(INDEX(PaymentSchedule45[INTEREST],1,1):PaymentSchedule45[[#This Row],[INTEREST]]),"")</f>
        <v>82920.021661020524</v>
      </c>
    </row>
    <row r="85" spans="2:11" x14ac:dyDescent="0.3">
      <c r="B85" s="30">
        <f>IF(LoanIsGood,IF(ROW()-ROW(PaymentSchedule45[[#Headers],[PMT NO]])&gt;ScheduledNumberOfPayments,"",ROW()-ROW(PaymentSchedule45[[#Headers],[PMT NO]])),"")</f>
        <v>70</v>
      </c>
      <c r="C85" s="31">
        <f>IF(PaymentSchedule45[[#This Row],[PMT NO]]&lt;&gt;"",EOMONTH(LoanStartDate,ROW(PaymentSchedule45[[#This Row],[PMT NO]])-ROW(PaymentSchedule45[[#Headers],[PMT NO]])-2)+DAY(LoanStartDate),"")</f>
        <v>45474</v>
      </c>
      <c r="D85" s="32">
        <f>IF(PaymentSchedule45[[#This Row],[PMT NO]]&lt;&gt;"",IF(ROW()-ROW(PaymentSchedule45[[#Headers],[BEGINNING BALANCE]])=1,LoanAmount,INDEX(PaymentSchedule45[ENDING BALANCE],ROW()-ROW(PaymentSchedule45[[#Headers],[BEGINNING BALANCE]])-1)),"")</f>
        <v>143617.25856054862</v>
      </c>
      <c r="E85" s="32">
        <f>IF(PaymentSchedule45[[#This Row],[PMT NO]]&lt;&gt;"",ScheduledPayment,"")</f>
        <v>1294.2429434851008</v>
      </c>
      <c r="F8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8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85" s="32">
        <f>IF(PaymentSchedule45[[#This Row],[PMT NO]]&lt;&gt;"",PaymentSchedule45[[#This Row],[TOTAL PAYMENT]]-PaymentSchedule45[[#This Row],[INTEREST]],"")</f>
        <v>121.3686652406202</v>
      </c>
      <c r="I85" s="32">
        <f>IF(PaymentSchedule45[[#This Row],[PMT NO]]&lt;&gt;"",PaymentSchedule45[[#This Row],[BEGINNING BALANCE]]*(InterestRate/PaymentsPerYear),"")</f>
        <v>1172.8742782444806</v>
      </c>
      <c r="J8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143495.88989530801</v>
      </c>
      <c r="K85" s="32">
        <f>IF(PaymentSchedule45[[#This Row],[PMT NO]]&lt;&gt;"",SUM(INDEX(PaymentSchedule45[INTEREST],1,1):PaymentSchedule45[[#This Row],[INTEREST]]),"")</f>
        <v>84092.895939264999</v>
      </c>
    </row>
    <row r="86" spans="2:11" x14ac:dyDescent="0.3">
      <c r="B86" s="30">
        <f>IF(LoanIsGood,IF(ROW()-ROW(PaymentSchedule45[[#Headers],[PMT NO]])&gt;ScheduledNumberOfPayments,"",ROW()-ROW(PaymentSchedule45[[#Headers],[PMT NO]])),"")</f>
        <v>71</v>
      </c>
      <c r="C86" s="31">
        <f>IF(PaymentSchedule45[[#This Row],[PMT NO]]&lt;&gt;"",EOMONTH(LoanStartDate,ROW(PaymentSchedule45[[#This Row],[PMT NO]])-ROW(PaymentSchedule45[[#Headers],[PMT NO]])-2)+DAY(LoanStartDate),"")</f>
        <v>45505</v>
      </c>
      <c r="D86" s="32">
        <f>IF(PaymentSchedule45[[#This Row],[PMT NO]]&lt;&gt;"",IF(ROW()-ROW(PaymentSchedule45[[#Headers],[BEGINNING BALANCE]])=1,LoanAmount,INDEX(PaymentSchedule45[ENDING BALANCE],ROW()-ROW(PaymentSchedule45[[#Headers],[BEGINNING BALANCE]])-1)),"")</f>
        <v>143495.88989530801</v>
      </c>
      <c r="E86" s="32">
        <f>IF(PaymentSchedule45[[#This Row],[PMT NO]]&lt;&gt;"",ScheduledPayment,"")</f>
        <v>1294.2429434851008</v>
      </c>
      <c r="F8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8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86" s="32">
        <f>IF(PaymentSchedule45[[#This Row],[PMT NO]]&lt;&gt;"",PaymentSchedule45[[#This Row],[TOTAL PAYMENT]]-PaymentSchedule45[[#This Row],[INTEREST]],"")</f>
        <v>122.3598426734186</v>
      </c>
      <c r="I86" s="32">
        <f>IF(PaymentSchedule45[[#This Row],[PMT NO]]&lt;&gt;"",PaymentSchedule45[[#This Row],[BEGINNING BALANCE]]*(InterestRate/PaymentsPerYear),"")</f>
        <v>1171.8831008116822</v>
      </c>
      <c r="J8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143373.5300526346</v>
      </c>
      <c r="K86" s="32">
        <f>IF(PaymentSchedule45[[#This Row],[PMT NO]]&lt;&gt;"",SUM(INDEX(PaymentSchedule45[INTEREST],1,1):PaymentSchedule45[[#This Row],[INTEREST]]),"")</f>
        <v>85264.779040076683</v>
      </c>
    </row>
    <row r="87" spans="2:11" x14ac:dyDescent="0.3">
      <c r="B87" s="30">
        <f>IF(LoanIsGood,IF(ROW()-ROW(PaymentSchedule45[[#Headers],[PMT NO]])&gt;ScheduledNumberOfPayments,"",ROW()-ROW(PaymentSchedule45[[#Headers],[PMT NO]])),"")</f>
        <v>72</v>
      </c>
      <c r="C87" s="31">
        <f>IF(PaymentSchedule45[[#This Row],[PMT NO]]&lt;&gt;"",EOMONTH(LoanStartDate,ROW(PaymentSchedule45[[#This Row],[PMT NO]])-ROW(PaymentSchedule45[[#Headers],[PMT NO]])-2)+DAY(LoanStartDate),"")</f>
        <v>45536</v>
      </c>
      <c r="D87" s="32">
        <f>IF(PaymentSchedule45[[#This Row],[PMT NO]]&lt;&gt;"",IF(ROW()-ROW(PaymentSchedule45[[#Headers],[BEGINNING BALANCE]])=1,LoanAmount,INDEX(PaymentSchedule45[ENDING BALANCE],ROW()-ROW(PaymentSchedule45[[#Headers],[BEGINNING BALANCE]])-1)),"")</f>
        <v>143373.5300526346</v>
      </c>
      <c r="E87" s="32">
        <f>IF(PaymentSchedule45[[#This Row],[PMT NO]]&lt;&gt;"",ScheduledPayment,"")</f>
        <v>1294.2429434851008</v>
      </c>
      <c r="F8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8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87" s="32">
        <f>IF(PaymentSchedule45[[#This Row],[PMT NO]]&lt;&gt;"",PaymentSchedule45[[#This Row],[TOTAL PAYMENT]]-PaymentSchedule45[[#This Row],[INTEREST]],"")</f>
        <v>123.3591147219181</v>
      </c>
      <c r="I87" s="32">
        <f>IF(PaymentSchedule45[[#This Row],[PMT NO]]&lt;&gt;"",PaymentSchedule45[[#This Row],[BEGINNING BALANCE]]*(InterestRate/PaymentsPerYear),"")</f>
        <v>1170.8838287631827</v>
      </c>
      <c r="J8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143250.17093791268</v>
      </c>
      <c r="K87" s="32">
        <f>IF(PaymentSchedule45[[#This Row],[PMT NO]]&lt;&gt;"",SUM(INDEX(PaymentSchedule45[INTEREST],1,1):PaymentSchedule45[[#This Row],[INTEREST]]),"")</f>
        <v>86435.662868839863</v>
      </c>
    </row>
    <row r="88" spans="2:11" x14ac:dyDescent="0.3">
      <c r="B88" s="30">
        <f>IF(LoanIsGood,IF(ROW()-ROW(PaymentSchedule45[[#Headers],[PMT NO]])&gt;ScheduledNumberOfPayments,"",ROW()-ROW(PaymentSchedule45[[#Headers],[PMT NO]])),"")</f>
        <v>73</v>
      </c>
      <c r="C88" s="31">
        <f>IF(PaymentSchedule45[[#This Row],[PMT NO]]&lt;&gt;"",EOMONTH(LoanStartDate,ROW(PaymentSchedule45[[#This Row],[PMT NO]])-ROW(PaymentSchedule45[[#Headers],[PMT NO]])-2)+DAY(LoanStartDate),"")</f>
        <v>45566</v>
      </c>
      <c r="D88" s="32">
        <f>IF(PaymentSchedule45[[#This Row],[PMT NO]]&lt;&gt;"",IF(ROW()-ROW(PaymentSchedule45[[#Headers],[BEGINNING BALANCE]])=1,LoanAmount,INDEX(PaymentSchedule45[ENDING BALANCE],ROW()-ROW(PaymentSchedule45[[#Headers],[BEGINNING BALANCE]])-1)),"")</f>
        <v>143250.17093791268</v>
      </c>
      <c r="E88" s="32">
        <f>IF(PaymentSchedule45[[#This Row],[PMT NO]]&lt;&gt;"",ScheduledPayment,"")</f>
        <v>1294.2429434851008</v>
      </c>
      <c r="F8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8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88" s="32">
        <f>IF(PaymentSchedule45[[#This Row],[PMT NO]]&lt;&gt;"",PaymentSchedule45[[#This Row],[TOTAL PAYMENT]]-PaymentSchedule45[[#This Row],[INTEREST]],"")</f>
        <v>124.36654749214699</v>
      </c>
      <c r="I88" s="32">
        <f>IF(PaymentSchedule45[[#This Row],[PMT NO]]&lt;&gt;"",PaymentSchedule45[[#This Row],[BEGINNING BALANCE]]*(InterestRate/PaymentsPerYear),"")</f>
        <v>1169.8763959929538</v>
      </c>
      <c r="J8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143125.80439042053</v>
      </c>
      <c r="K88" s="32">
        <f>IF(PaymentSchedule45[[#This Row],[PMT NO]]&lt;&gt;"",SUM(INDEX(PaymentSchedule45[INTEREST],1,1):PaymentSchedule45[[#This Row],[INTEREST]]),"")</f>
        <v>87605.539264832812</v>
      </c>
    </row>
    <row r="89" spans="2:11" x14ac:dyDescent="0.3">
      <c r="B89" s="30">
        <f>IF(LoanIsGood,IF(ROW()-ROW(PaymentSchedule45[[#Headers],[PMT NO]])&gt;ScheduledNumberOfPayments,"",ROW()-ROW(PaymentSchedule45[[#Headers],[PMT NO]])),"")</f>
        <v>74</v>
      </c>
      <c r="C89" s="31">
        <f>IF(PaymentSchedule45[[#This Row],[PMT NO]]&lt;&gt;"",EOMONTH(LoanStartDate,ROW(PaymentSchedule45[[#This Row],[PMT NO]])-ROW(PaymentSchedule45[[#Headers],[PMT NO]])-2)+DAY(LoanStartDate),"")</f>
        <v>45597</v>
      </c>
      <c r="D89" s="32">
        <f>IF(PaymentSchedule45[[#This Row],[PMT NO]]&lt;&gt;"",IF(ROW()-ROW(PaymentSchedule45[[#Headers],[BEGINNING BALANCE]])=1,LoanAmount,INDEX(PaymentSchedule45[ENDING BALANCE],ROW()-ROW(PaymentSchedule45[[#Headers],[BEGINNING BALANCE]])-1)),"")</f>
        <v>143125.80439042053</v>
      </c>
      <c r="E89" s="32">
        <f>IF(PaymentSchedule45[[#This Row],[PMT NO]]&lt;&gt;"",ScheduledPayment,"")</f>
        <v>1294.2429434851008</v>
      </c>
      <c r="F8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8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89" s="32">
        <f>IF(PaymentSchedule45[[#This Row],[PMT NO]]&lt;&gt;"",PaymentSchedule45[[#This Row],[TOTAL PAYMENT]]-PaymentSchedule45[[#This Row],[INTEREST]],"")</f>
        <v>125.38220762999981</v>
      </c>
      <c r="I89" s="32">
        <f>IF(PaymentSchedule45[[#This Row],[PMT NO]]&lt;&gt;"",PaymentSchedule45[[#This Row],[BEGINNING BALANCE]]*(InterestRate/PaymentsPerYear),"")</f>
        <v>1168.860735855101</v>
      </c>
      <c r="J8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143000.42218279053</v>
      </c>
      <c r="K89" s="32">
        <f>IF(PaymentSchedule45[[#This Row],[PMT NO]]&lt;&gt;"",SUM(INDEX(PaymentSchedule45[INTEREST],1,1):PaymentSchedule45[[#This Row],[INTEREST]]),"")</f>
        <v>88774.400000687907</v>
      </c>
    </row>
    <row r="90" spans="2:11" x14ac:dyDescent="0.3">
      <c r="B90" s="30">
        <f>IF(LoanIsGood,IF(ROW()-ROW(PaymentSchedule45[[#Headers],[PMT NO]])&gt;ScheduledNumberOfPayments,"",ROW()-ROW(PaymentSchedule45[[#Headers],[PMT NO]])),"")</f>
        <v>75</v>
      </c>
      <c r="C90" s="31">
        <f>IF(PaymentSchedule45[[#This Row],[PMT NO]]&lt;&gt;"",EOMONTH(LoanStartDate,ROW(PaymentSchedule45[[#This Row],[PMT NO]])-ROW(PaymentSchedule45[[#Headers],[PMT NO]])-2)+DAY(LoanStartDate),"")</f>
        <v>45627</v>
      </c>
      <c r="D90" s="32">
        <f>IF(PaymentSchedule45[[#This Row],[PMT NO]]&lt;&gt;"",IF(ROW()-ROW(PaymentSchedule45[[#Headers],[BEGINNING BALANCE]])=1,LoanAmount,INDEX(PaymentSchedule45[ENDING BALANCE],ROW()-ROW(PaymentSchedule45[[#Headers],[BEGINNING BALANCE]])-1)),"")</f>
        <v>143000.42218279053</v>
      </c>
      <c r="E90" s="32">
        <f>IF(PaymentSchedule45[[#This Row],[PMT NO]]&lt;&gt;"",ScheduledPayment,"")</f>
        <v>1294.2429434851008</v>
      </c>
      <c r="F9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9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90" s="32">
        <f>IF(PaymentSchedule45[[#This Row],[PMT NO]]&lt;&gt;"",PaymentSchedule45[[#This Row],[TOTAL PAYMENT]]-PaymentSchedule45[[#This Row],[INTEREST]],"")</f>
        <v>126.4061623256448</v>
      </c>
      <c r="I90" s="32">
        <f>IF(PaymentSchedule45[[#This Row],[PMT NO]]&lt;&gt;"",PaymentSchedule45[[#This Row],[BEGINNING BALANCE]]*(InterestRate/PaymentsPerYear),"")</f>
        <v>1167.836781159456</v>
      </c>
      <c r="J9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142874.01602046489</v>
      </c>
      <c r="K90" s="32">
        <f>IF(PaymentSchedule45[[#This Row],[PMT NO]]&lt;&gt;"",SUM(INDEX(PaymentSchedule45[INTEREST],1,1):PaymentSchedule45[[#This Row],[INTEREST]]),"")</f>
        <v>89942.236781847358</v>
      </c>
    </row>
    <row r="91" spans="2:11" x14ac:dyDescent="0.3">
      <c r="B91" s="30">
        <f>IF(LoanIsGood,IF(ROW()-ROW(PaymentSchedule45[[#Headers],[PMT NO]])&gt;ScheduledNumberOfPayments,"",ROW()-ROW(PaymentSchedule45[[#Headers],[PMT NO]])),"")</f>
        <v>76</v>
      </c>
      <c r="C91" s="31">
        <f>IF(PaymentSchedule45[[#This Row],[PMT NO]]&lt;&gt;"",EOMONTH(LoanStartDate,ROW(PaymentSchedule45[[#This Row],[PMT NO]])-ROW(PaymentSchedule45[[#Headers],[PMT NO]])-2)+DAY(LoanStartDate),"")</f>
        <v>45658</v>
      </c>
      <c r="D91" s="32">
        <f>IF(PaymentSchedule45[[#This Row],[PMT NO]]&lt;&gt;"",IF(ROW()-ROW(PaymentSchedule45[[#Headers],[BEGINNING BALANCE]])=1,LoanAmount,INDEX(PaymentSchedule45[ENDING BALANCE],ROW()-ROW(PaymentSchedule45[[#Headers],[BEGINNING BALANCE]])-1)),"")</f>
        <v>142874.01602046489</v>
      </c>
      <c r="E91" s="32">
        <f>IF(PaymentSchedule45[[#This Row],[PMT NO]]&lt;&gt;"",ScheduledPayment,"")</f>
        <v>1294.2429434851008</v>
      </c>
      <c r="F9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9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91" s="32">
        <f>IF(PaymentSchedule45[[#This Row],[PMT NO]]&lt;&gt;"",PaymentSchedule45[[#This Row],[TOTAL PAYMENT]]-PaymentSchedule45[[#This Row],[INTEREST]],"")</f>
        <v>127.43847931797086</v>
      </c>
      <c r="I91" s="32">
        <f>IF(PaymentSchedule45[[#This Row],[PMT NO]]&lt;&gt;"",PaymentSchedule45[[#This Row],[BEGINNING BALANCE]]*(InterestRate/PaymentsPerYear),"")</f>
        <v>1166.8044641671299</v>
      </c>
      <c r="J9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142746.57754114692</v>
      </c>
      <c r="K91" s="32">
        <f>IF(PaymentSchedule45[[#This Row],[PMT NO]]&lt;&gt;"",SUM(INDEX(PaymentSchedule45[INTEREST],1,1):PaymentSchedule45[[#This Row],[INTEREST]]),"")</f>
        <v>91109.041246014487</v>
      </c>
    </row>
    <row r="92" spans="2:11" x14ac:dyDescent="0.3">
      <c r="B92" s="30">
        <f>IF(LoanIsGood,IF(ROW()-ROW(PaymentSchedule45[[#Headers],[PMT NO]])&gt;ScheduledNumberOfPayments,"",ROW()-ROW(PaymentSchedule45[[#Headers],[PMT NO]])),"")</f>
        <v>77</v>
      </c>
      <c r="C92" s="31">
        <f>IF(PaymentSchedule45[[#This Row],[PMT NO]]&lt;&gt;"",EOMONTH(LoanStartDate,ROW(PaymentSchedule45[[#This Row],[PMT NO]])-ROW(PaymentSchedule45[[#Headers],[PMT NO]])-2)+DAY(LoanStartDate),"")</f>
        <v>45689</v>
      </c>
      <c r="D92" s="32">
        <f>IF(PaymentSchedule45[[#This Row],[PMT NO]]&lt;&gt;"",IF(ROW()-ROW(PaymentSchedule45[[#Headers],[BEGINNING BALANCE]])=1,LoanAmount,INDEX(PaymentSchedule45[ENDING BALANCE],ROW()-ROW(PaymentSchedule45[[#Headers],[BEGINNING BALANCE]])-1)),"")</f>
        <v>142746.57754114692</v>
      </c>
      <c r="E92" s="32">
        <f>IF(PaymentSchedule45[[#This Row],[PMT NO]]&lt;&gt;"",ScheduledPayment,"")</f>
        <v>1294.2429434851008</v>
      </c>
      <c r="F9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9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92" s="32">
        <f>IF(PaymentSchedule45[[#This Row],[PMT NO]]&lt;&gt;"",PaymentSchedule45[[#This Row],[TOTAL PAYMENT]]-PaymentSchedule45[[#This Row],[INTEREST]],"")</f>
        <v>128.4792268990675</v>
      </c>
      <c r="I92" s="32">
        <f>IF(PaymentSchedule45[[#This Row],[PMT NO]]&lt;&gt;"",PaymentSchedule45[[#This Row],[BEGINNING BALANCE]]*(InterestRate/PaymentsPerYear),"")</f>
        <v>1165.7637165860333</v>
      </c>
      <c r="J9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142618.09831424785</v>
      </c>
      <c r="K92" s="32">
        <f>IF(PaymentSchedule45[[#This Row],[PMT NO]]&lt;&gt;"",SUM(INDEX(PaymentSchedule45[INTEREST],1,1):PaymentSchedule45[[#This Row],[INTEREST]]),"")</f>
        <v>92274.804962600523</v>
      </c>
    </row>
    <row r="93" spans="2:11" x14ac:dyDescent="0.3">
      <c r="B93" s="30">
        <f>IF(LoanIsGood,IF(ROW()-ROW(PaymentSchedule45[[#Headers],[PMT NO]])&gt;ScheduledNumberOfPayments,"",ROW()-ROW(PaymentSchedule45[[#Headers],[PMT NO]])),"")</f>
        <v>78</v>
      </c>
      <c r="C93" s="31">
        <f>IF(PaymentSchedule45[[#This Row],[PMT NO]]&lt;&gt;"",EOMONTH(LoanStartDate,ROW(PaymentSchedule45[[#This Row],[PMT NO]])-ROW(PaymentSchedule45[[#Headers],[PMT NO]])-2)+DAY(LoanStartDate),"")</f>
        <v>45717</v>
      </c>
      <c r="D93" s="32">
        <f>IF(PaymentSchedule45[[#This Row],[PMT NO]]&lt;&gt;"",IF(ROW()-ROW(PaymentSchedule45[[#Headers],[BEGINNING BALANCE]])=1,LoanAmount,INDEX(PaymentSchedule45[ENDING BALANCE],ROW()-ROW(PaymentSchedule45[[#Headers],[BEGINNING BALANCE]])-1)),"")</f>
        <v>142618.09831424785</v>
      </c>
      <c r="E93" s="32">
        <f>IF(PaymentSchedule45[[#This Row],[PMT NO]]&lt;&gt;"",ScheduledPayment,"")</f>
        <v>1294.2429434851008</v>
      </c>
      <c r="F9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9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93" s="32">
        <f>IF(PaymentSchedule45[[#This Row],[PMT NO]]&lt;&gt;"",PaymentSchedule45[[#This Row],[TOTAL PAYMENT]]-PaymentSchedule45[[#This Row],[INTEREST]],"")</f>
        <v>129.5284739187432</v>
      </c>
      <c r="I93" s="32">
        <f>IF(PaymentSchedule45[[#This Row],[PMT NO]]&lt;&gt;"",PaymentSchedule45[[#This Row],[BEGINNING BALANCE]]*(InterestRate/PaymentsPerYear),"")</f>
        <v>1164.7144695663576</v>
      </c>
      <c r="J9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142488.56984032912</v>
      </c>
      <c r="K93" s="32">
        <f>IF(PaymentSchedule45[[#This Row],[PMT NO]]&lt;&gt;"",SUM(INDEX(PaymentSchedule45[INTEREST],1,1):PaymentSchedule45[[#This Row],[INTEREST]]),"")</f>
        <v>93439.519432166882</v>
      </c>
    </row>
    <row r="94" spans="2:11" x14ac:dyDescent="0.3">
      <c r="B94" s="30">
        <f>IF(LoanIsGood,IF(ROW()-ROW(PaymentSchedule45[[#Headers],[PMT NO]])&gt;ScheduledNumberOfPayments,"",ROW()-ROW(PaymentSchedule45[[#Headers],[PMT NO]])),"")</f>
        <v>79</v>
      </c>
      <c r="C94" s="31">
        <f>IF(PaymentSchedule45[[#This Row],[PMT NO]]&lt;&gt;"",EOMONTH(LoanStartDate,ROW(PaymentSchedule45[[#This Row],[PMT NO]])-ROW(PaymentSchedule45[[#Headers],[PMT NO]])-2)+DAY(LoanStartDate),"")</f>
        <v>45748</v>
      </c>
      <c r="D94" s="32">
        <f>IF(PaymentSchedule45[[#This Row],[PMT NO]]&lt;&gt;"",IF(ROW()-ROW(PaymentSchedule45[[#Headers],[BEGINNING BALANCE]])=1,LoanAmount,INDEX(PaymentSchedule45[ENDING BALANCE],ROW()-ROW(PaymentSchedule45[[#Headers],[BEGINNING BALANCE]])-1)),"")</f>
        <v>142488.56984032912</v>
      </c>
      <c r="E94" s="32">
        <f>IF(PaymentSchedule45[[#This Row],[PMT NO]]&lt;&gt;"",ScheduledPayment,"")</f>
        <v>1294.2429434851008</v>
      </c>
      <c r="F9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9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94" s="32">
        <f>IF(PaymentSchedule45[[#This Row],[PMT NO]]&lt;&gt;"",PaymentSchedule45[[#This Row],[TOTAL PAYMENT]]-PaymentSchedule45[[#This Row],[INTEREST]],"")</f>
        <v>130.5862897890795</v>
      </c>
      <c r="I94" s="32">
        <f>IF(PaymentSchedule45[[#This Row],[PMT NO]]&lt;&gt;"",PaymentSchedule45[[#This Row],[BEGINNING BALANCE]]*(InterestRate/PaymentsPerYear),"")</f>
        <v>1163.6566536960213</v>
      </c>
      <c r="J9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142357.98355054003</v>
      </c>
      <c r="K94" s="32">
        <f>IF(PaymentSchedule45[[#This Row],[PMT NO]]&lt;&gt;"",SUM(INDEX(PaymentSchedule45[INTEREST],1,1):PaymentSchedule45[[#This Row],[INTEREST]]),"")</f>
        <v>94603.176085862899</v>
      </c>
    </row>
    <row r="95" spans="2:11" x14ac:dyDescent="0.3">
      <c r="B95" s="30">
        <f>IF(LoanIsGood,IF(ROW()-ROW(PaymentSchedule45[[#Headers],[PMT NO]])&gt;ScheduledNumberOfPayments,"",ROW()-ROW(PaymentSchedule45[[#Headers],[PMT NO]])),"")</f>
        <v>80</v>
      </c>
      <c r="C95" s="31">
        <f>IF(PaymentSchedule45[[#This Row],[PMT NO]]&lt;&gt;"",EOMONTH(LoanStartDate,ROW(PaymentSchedule45[[#This Row],[PMT NO]])-ROW(PaymentSchedule45[[#Headers],[PMT NO]])-2)+DAY(LoanStartDate),"")</f>
        <v>45778</v>
      </c>
      <c r="D95" s="32">
        <f>IF(PaymentSchedule45[[#This Row],[PMT NO]]&lt;&gt;"",IF(ROW()-ROW(PaymentSchedule45[[#Headers],[BEGINNING BALANCE]])=1,LoanAmount,INDEX(PaymentSchedule45[ENDING BALANCE],ROW()-ROW(PaymentSchedule45[[#Headers],[BEGINNING BALANCE]])-1)),"")</f>
        <v>142357.98355054003</v>
      </c>
      <c r="E95" s="32">
        <f>IF(PaymentSchedule45[[#This Row],[PMT NO]]&lt;&gt;"",ScheduledPayment,"")</f>
        <v>1294.2429434851008</v>
      </c>
      <c r="F9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9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95" s="32">
        <f>IF(PaymentSchedule45[[#This Row],[PMT NO]]&lt;&gt;"",PaymentSchedule45[[#This Row],[TOTAL PAYMENT]]-PaymentSchedule45[[#This Row],[INTEREST]],"")</f>
        <v>131.65274448902369</v>
      </c>
      <c r="I95" s="32">
        <f>IF(PaymentSchedule45[[#This Row],[PMT NO]]&lt;&gt;"",PaymentSchedule45[[#This Row],[BEGINNING BALANCE]]*(InterestRate/PaymentsPerYear),"")</f>
        <v>1162.5901989960771</v>
      </c>
      <c r="J9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142226.330806051</v>
      </c>
      <c r="K95" s="32">
        <f>IF(PaymentSchedule45[[#This Row],[PMT NO]]&lt;&gt;"",SUM(INDEX(PaymentSchedule45[INTEREST],1,1):PaymentSchedule45[[#This Row],[INTEREST]]),"")</f>
        <v>95765.766284858983</v>
      </c>
    </row>
    <row r="96" spans="2:11" x14ac:dyDescent="0.3">
      <c r="B96" s="30">
        <f>IF(LoanIsGood,IF(ROW()-ROW(PaymentSchedule45[[#Headers],[PMT NO]])&gt;ScheduledNumberOfPayments,"",ROW()-ROW(PaymentSchedule45[[#Headers],[PMT NO]])),"")</f>
        <v>81</v>
      </c>
      <c r="C96" s="31">
        <f>IF(PaymentSchedule45[[#This Row],[PMT NO]]&lt;&gt;"",EOMONTH(LoanStartDate,ROW(PaymentSchedule45[[#This Row],[PMT NO]])-ROW(PaymentSchedule45[[#Headers],[PMT NO]])-2)+DAY(LoanStartDate),"")</f>
        <v>45809</v>
      </c>
      <c r="D96" s="32">
        <f>IF(PaymentSchedule45[[#This Row],[PMT NO]]&lt;&gt;"",IF(ROW()-ROW(PaymentSchedule45[[#Headers],[BEGINNING BALANCE]])=1,LoanAmount,INDEX(PaymentSchedule45[ENDING BALANCE],ROW()-ROW(PaymentSchedule45[[#Headers],[BEGINNING BALANCE]])-1)),"")</f>
        <v>142226.330806051</v>
      </c>
      <c r="E96" s="32">
        <f>IF(PaymentSchedule45[[#This Row],[PMT NO]]&lt;&gt;"",ScheduledPayment,"")</f>
        <v>1294.2429434851008</v>
      </c>
      <c r="F9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9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96" s="32">
        <f>IF(PaymentSchedule45[[#This Row],[PMT NO]]&lt;&gt;"",PaymentSchedule45[[#This Row],[TOTAL PAYMENT]]-PaymentSchedule45[[#This Row],[INTEREST]],"")</f>
        <v>132.72790856901747</v>
      </c>
      <c r="I96" s="32">
        <f>IF(PaymentSchedule45[[#This Row],[PMT NO]]&lt;&gt;"",PaymentSchedule45[[#This Row],[BEGINNING BALANCE]]*(InterestRate/PaymentsPerYear),"")</f>
        <v>1161.5150349160833</v>
      </c>
      <c r="J9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142093.60289748199</v>
      </c>
      <c r="K96" s="32">
        <f>IF(PaymentSchedule45[[#This Row],[PMT NO]]&lt;&gt;"",SUM(INDEX(PaymentSchedule45[INTEREST],1,1):PaymentSchedule45[[#This Row],[INTEREST]]),"")</f>
        <v>96927.281319775066</v>
      </c>
    </row>
    <row r="97" spans="2:11" x14ac:dyDescent="0.3">
      <c r="B97" s="30">
        <f>IF(LoanIsGood,IF(ROW()-ROW(PaymentSchedule45[[#Headers],[PMT NO]])&gt;ScheduledNumberOfPayments,"",ROW()-ROW(PaymentSchedule45[[#Headers],[PMT NO]])),"")</f>
        <v>82</v>
      </c>
      <c r="C97" s="31">
        <f>IF(PaymentSchedule45[[#This Row],[PMT NO]]&lt;&gt;"",EOMONTH(LoanStartDate,ROW(PaymentSchedule45[[#This Row],[PMT NO]])-ROW(PaymentSchedule45[[#Headers],[PMT NO]])-2)+DAY(LoanStartDate),"")</f>
        <v>45839</v>
      </c>
      <c r="D97" s="32">
        <f>IF(PaymentSchedule45[[#This Row],[PMT NO]]&lt;&gt;"",IF(ROW()-ROW(PaymentSchedule45[[#Headers],[BEGINNING BALANCE]])=1,LoanAmount,INDEX(PaymentSchedule45[ENDING BALANCE],ROW()-ROW(PaymentSchedule45[[#Headers],[BEGINNING BALANCE]])-1)),"")</f>
        <v>142093.60289748199</v>
      </c>
      <c r="E97" s="32">
        <f>IF(PaymentSchedule45[[#This Row],[PMT NO]]&lt;&gt;"",ScheduledPayment,"")</f>
        <v>1294.2429434851008</v>
      </c>
      <c r="F9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9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97" s="32">
        <f>IF(PaymentSchedule45[[#This Row],[PMT NO]]&lt;&gt;"",PaymentSchedule45[[#This Row],[TOTAL PAYMENT]]-PaymentSchedule45[[#This Row],[INTEREST]],"")</f>
        <v>133.81185315566449</v>
      </c>
      <c r="I97" s="32">
        <f>IF(PaymentSchedule45[[#This Row],[PMT NO]]&lt;&gt;"",PaymentSchedule45[[#This Row],[BEGINNING BALANCE]]*(InterestRate/PaymentsPerYear),"")</f>
        <v>1160.4310903294363</v>
      </c>
      <c r="J9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141959.79104432632</v>
      </c>
      <c r="K97" s="32">
        <f>IF(PaymentSchedule45[[#This Row],[PMT NO]]&lt;&gt;"",SUM(INDEX(PaymentSchedule45[INTEREST],1,1):PaymentSchedule45[[#This Row],[INTEREST]]),"")</f>
        <v>98087.712410104505</v>
      </c>
    </row>
    <row r="98" spans="2:11" x14ac:dyDescent="0.3">
      <c r="B98" s="30">
        <f>IF(LoanIsGood,IF(ROW()-ROW(PaymentSchedule45[[#Headers],[PMT NO]])&gt;ScheduledNumberOfPayments,"",ROW()-ROW(PaymentSchedule45[[#Headers],[PMT NO]])),"")</f>
        <v>83</v>
      </c>
      <c r="C98" s="31">
        <f>IF(PaymentSchedule45[[#This Row],[PMT NO]]&lt;&gt;"",EOMONTH(LoanStartDate,ROW(PaymentSchedule45[[#This Row],[PMT NO]])-ROW(PaymentSchedule45[[#Headers],[PMT NO]])-2)+DAY(LoanStartDate),"")</f>
        <v>45870</v>
      </c>
      <c r="D98" s="32">
        <f>IF(PaymentSchedule45[[#This Row],[PMT NO]]&lt;&gt;"",IF(ROW()-ROW(PaymentSchedule45[[#Headers],[BEGINNING BALANCE]])=1,LoanAmount,INDEX(PaymentSchedule45[ENDING BALANCE],ROW()-ROW(PaymentSchedule45[[#Headers],[BEGINNING BALANCE]])-1)),"")</f>
        <v>141959.79104432632</v>
      </c>
      <c r="E98" s="32">
        <f>IF(PaymentSchedule45[[#This Row],[PMT NO]]&lt;&gt;"",ScheduledPayment,"")</f>
        <v>1294.2429434851008</v>
      </c>
      <c r="F9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9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98" s="32">
        <f>IF(PaymentSchedule45[[#This Row],[PMT NO]]&lt;&gt;"",PaymentSchedule45[[#This Row],[TOTAL PAYMENT]]-PaymentSchedule45[[#This Row],[INTEREST]],"")</f>
        <v>134.90464995643561</v>
      </c>
      <c r="I98" s="32">
        <f>IF(PaymentSchedule45[[#This Row],[PMT NO]]&lt;&gt;"",PaymentSchedule45[[#This Row],[BEGINNING BALANCE]]*(InterestRate/PaymentsPerYear),"")</f>
        <v>1159.3382935286652</v>
      </c>
      <c r="J9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141824.88639436988</v>
      </c>
      <c r="K98" s="32">
        <f>IF(PaymentSchedule45[[#This Row],[PMT NO]]&lt;&gt;"",SUM(INDEX(PaymentSchedule45[INTEREST],1,1):PaymentSchedule45[[#This Row],[INTEREST]]),"")</f>
        <v>99247.050703633169</v>
      </c>
    </row>
    <row r="99" spans="2:11" x14ac:dyDescent="0.3">
      <c r="B99" s="30">
        <f>IF(LoanIsGood,IF(ROW()-ROW(PaymentSchedule45[[#Headers],[PMT NO]])&gt;ScheduledNumberOfPayments,"",ROW()-ROW(PaymentSchedule45[[#Headers],[PMT NO]])),"")</f>
        <v>84</v>
      </c>
      <c r="C99" s="31">
        <f>IF(PaymentSchedule45[[#This Row],[PMT NO]]&lt;&gt;"",EOMONTH(LoanStartDate,ROW(PaymentSchedule45[[#This Row],[PMT NO]])-ROW(PaymentSchedule45[[#Headers],[PMT NO]])-2)+DAY(LoanStartDate),"")</f>
        <v>45901</v>
      </c>
      <c r="D99" s="32">
        <f>IF(PaymentSchedule45[[#This Row],[PMT NO]]&lt;&gt;"",IF(ROW()-ROW(PaymentSchedule45[[#Headers],[BEGINNING BALANCE]])=1,LoanAmount,INDEX(PaymentSchedule45[ENDING BALANCE],ROW()-ROW(PaymentSchedule45[[#Headers],[BEGINNING BALANCE]])-1)),"")</f>
        <v>141824.88639436988</v>
      </c>
      <c r="E99" s="32">
        <f>IF(PaymentSchedule45[[#This Row],[PMT NO]]&lt;&gt;"",ScheduledPayment,"")</f>
        <v>1294.2429434851008</v>
      </c>
      <c r="F9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9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99" s="32">
        <f>IF(PaymentSchedule45[[#This Row],[PMT NO]]&lt;&gt;"",PaymentSchedule45[[#This Row],[TOTAL PAYMENT]]-PaymentSchedule45[[#This Row],[INTEREST]],"")</f>
        <v>136.00637126441325</v>
      </c>
      <c r="I99" s="32">
        <f>IF(PaymentSchedule45[[#This Row],[PMT NO]]&lt;&gt;"",PaymentSchedule45[[#This Row],[BEGINNING BALANCE]]*(InterestRate/PaymentsPerYear),"")</f>
        <v>1158.2365722206875</v>
      </c>
      <c r="J9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141688.88002310548</v>
      </c>
      <c r="K99" s="32">
        <f>IF(PaymentSchedule45[[#This Row],[PMT NO]]&lt;&gt;"",SUM(INDEX(PaymentSchedule45[INTEREST],1,1):PaymentSchedule45[[#This Row],[INTEREST]]),"")</f>
        <v>100405.28727585386</v>
      </c>
    </row>
    <row r="100" spans="2:11" x14ac:dyDescent="0.3">
      <c r="B100" s="30">
        <f>IF(LoanIsGood,IF(ROW()-ROW(PaymentSchedule45[[#Headers],[PMT NO]])&gt;ScheduledNumberOfPayments,"",ROW()-ROW(PaymentSchedule45[[#Headers],[PMT NO]])),"")</f>
        <v>85</v>
      </c>
      <c r="C100" s="31">
        <f>IF(PaymentSchedule45[[#This Row],[PMT NO]]&lt;&gt;"",EOMONTH(LoanStartDate,ROW(PaymentSchedule45[[#This Row],[PMT NO]])-ROW(PaymentSchedule45[[#Headers],[PMT NO]])-2)+DAY(LoanStartDate),"")</f>
        <v>45931</v>
      </c>
      <c r="D100" s="32">
        <f>IF(PaymentSchedule45[[#This Row],[PMT NO]]&lt;&gt;"",IF(ROW()-ROW(PaymentSchedule45[[#Headers],[BEGINNING BALANCE]])=1,LoanAmount,INDEX(PaymentSchedule45[ENDING BALANCE],ROW()-ROW(PaymentSchedule45[[#Headers],[BEGINNING BALANCE]])-1)),"")</f>
        <v>141688.88002310548</v>
      </c>
      <c r="E100" s="32">
        <f>IF(PaymentSchedule45[[#This Row],[PMT NO]]&lt;&gt;"",ScheduledPayment,"")</f>
        <v>1294.2429434851008</v>
      </c>
      <c r="F10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0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00" s="32">
        <f>IF(PaymentSchedule45[[#This Row],[PMT NO]]&lt;&gt;"",PaymentSchedule45[[#This Row],[TOTAL PAYMENT]]-PaymentSchedule45[[#This Row],[INTEREST]],"")</f>
        <v>137.11708996307266</v>
      </c>
      <c r="I100" s="32">
        <f>IF(PaymentSchedule45[[#This Row],[PMT NO]]&lt;&gt;"",PaymentSchedule45[[#This Row],[BEGINNING BALANCE]]*(InterestRate/PaymentsPerYear),"")</f>
        <v>1157.1258535220281</v>
      </c>
      <c r="J10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141551.7629331424</v>
      </c>
      <c r="K100" s="32">
        <f>IF(PaymentSchedule45[[#This Row],[PMT NO]]&lt;&gt;"",SUM(INDEX(PaymentSchedule45[INTEREST],1,1):PaymentSchedule45[[#This Row],[INTEREST]]),"")</f>
        <v>101562.41312937588</v>
      </c>
    </row>
    <row r="101" spans="2:11" x14ac:dyDescent="0.3">
      <c r="B101" s="30">
        <f>IF(LoanIsGood,IF(ROW()-ROW(PaymentSchedule45[[#Headers],[PMT NO]])&gt;ScheduledNumberOfPayments,"",ROW()-ROW(PaymentSchedule45[[#Headers],[PMT NO]])),"")</f>
        <v>86</v>
      </c>
      <c r="C101" s="31">
        <f>IF(PaymentSchedule45[[#This Row],[PMT NO]]&lt;&gt;"",EOMONTH(LoanStartDate,ROW(PaymentSchedule45[[#This Row],[PMT NO]])-ROW(PaymentSchedule45[[#Headers],[PMT NO]])-2)+DAY(LoanStartDate),"")</f>
        <v>45962</v>
      </c>
      <c r="D101" s="32">
        <f>IF(PaymentSchedule45[[#This Row],[PMT NO]]&lt;&gt;"",IF(ROW()-ROW(PaymentSchedule45[[#Headers],[BEGINNING BALANCE]])=1,LoanAmount,INDEX(PaymentSchedule45[ENDING BALANCE],ROW()-ROW(PaymentSchedule45[[#Headers],[BEGINNING BALANCE]])-1)),"")</f>
        <v>141551.7629331424</v>
      </c>
      <c r="E101" s="32">
        <f>IF(PaymentSchedule45[[#This Row],[PMT NO]]&lt;&gt;"",ScheduledPayment,"")</f>
        <v>1294.2429434851008</v>
      </c>
      <c r="F10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0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01" s="32">
        <f>IF(PaymentSchedule45[[#This Row],[PMT NO]]&lt;&gt;"",PaymentSchedule45[[#This Row],[TOTAL PAYMENT]]-PaymentSchedule45[[#This Row],[INTEREST]],"")</f>
        <v>138.23687953110448</v>
      </c>
      <c r="I101" s="32">
        <f>IF(PaymentSchedule45[[#This Row],[PMT NO]]&lt;&gt;"",PaymentSchedule45[[#This Row],[BEGINNING BALANCE]]*(InterestRate/PaymentsPerYear),"")</f>
        <v>1156.0060639539963</v>
      </c>
      <c r="J10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141413.52605361131</v>
      </c>
      <c r="K101" s="32">
        <f>IF(PaymentSchedule45[[#This Row],[PMT NO]]&lt;&gt;"",SUM(INDEX(PaymentSchedule45[INTEREST],1,1):PaymentSchedule45[[#This Row],[INTEREST]]),"")</f>
        <v>102718.41919332989</v>
      </c>
    </row>
    <row r="102" spans="2:11" x14ac:dyDescent="0.3">
      <c r="B102" s="30">
        <f>IF(LoanIsGood,IF(ROW()-ROW(PaymentSchedule45[[#Headers],[PMT NO]])&gt;ScheduledNumberOfPayments,"",ROW()-ROW(PaymentSchedule45[[#Headers],[PMT NO]])),"")</f>
        <v>87</v>
      </c>
      <c r="C102" s="31">
        <f>IF(PaymentSchedule45[[#This Row],[PMT NO]]&lt;&gt;"",EOMONTH(LoanStartDate,ROW(PaymentSchedule45[[#This Row],[PMT NO]])-ROW(PaymentSchedule45[[#Headers],[PMT NO]])-2)+DAY(LoanStartDate),"")</f>
        <v>45992</v>
      </c>
      <c r="D102" s="32">
        <f>IF(PaymentSchedule45[[#This Row],[PMT NO]]&lt;&gt;"",IF(ROW()-ROW(PaymentSchedule45[[#Headers],[BEGINNING BALANCE]])=1,LoanAmount,INDEX(PaymentSchedule45[ENDING BALANCE],ROW()-ROW(PaymentSchedule45[[#Headers],[BEGINNING BALANCE]])-1)),"")</f>
        <v>141413.52605361131</v>
      </c>
      <c r="E102" s="32">
        <f>IF(PaymentSchedule45[[#This Row],[PMT NO]]&lt;&gt;"",ScheduledPayment,"")</f>
        <v>1294.2429434851008</v>
      </c>
      <c r="F10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0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02" s="32">
        <f>IF(PaymentSchedule45[[#This Row],[PMT NO]]&lt;&gt;"",PaymentSchedule45[[#This Row],[TOTAL PAYMENT]]-PaymentSchedule45[[#This Row],[INTEREST]],"")</f>
        <v>139.36581404727508</v>
      </c>
      <c r="I102" s="32">
        <f>IF(PaymentSchedule45[[#This Row],[PMT NO]]&lt;&gt;"",PaymentSchedule45[[#This Row],[BEGINNING BALANCE]]*(InterestRate/PaymentsPerYear),"")</f>
        <v>1154.8771294378257</v>
      </c>
      <c r="J10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141274.16023956402</v>
      </c>
      <c r="K102" s="32">
        <f>IF(PaymentSchedule45[[#This Row],[PMT NO]]&lt;&gt;"",SUM(INDEX(PaymentSchedule45[INTEREST],1,1):PaymentSchedule45[[#This Row],[INTEREST]]),"")</f>
        <v>103873.29632276771</v>
      </c>
    </row>
    <row r="103" spans="2:11" x14ac:dyDescent="0.3">
      <c r="B103" s="30">
        <f>IF(LoanIsGood,IF(ROW()-ROW(PaymentSchedule45[[#Headers],[PMT NO]])&gt;ScheduledNumberOfPayments,"",ROW()-ROW(PaymentSchedule45[[#Headers],[PMT NO]])),"")</f>
        <v>88</v>
      </c>
      <c r="C103" s="31">
        <f>IF(PaymentSchedule45[[#This Row],[PMT NO]]&lt;&gt;"",EOMONTH(LoanStartDate,ROW(PaymentSchedule45[[#This Row],[PMT NO]])-ROW(PaymentSchedule45[[#Headers],[PMT NO]])-2)+DAY(LoanStartDate),"")</f>
        <v>46023</v>
      </c>
      <c r="D103" s="32">
        <f>IF(PaymentSchedule45[[#This Row],[PMT NO]]&lt;&gt;"",IF(ROW()-ROW(PaymentSchedule45[[#Headers],[BEGINNING BALANCE]])=1,LoanAmount,INDEX(PaymentSchedule45[ENDING BALANCE],ROW()-ROW(PaymentSchedule45[[#Headers],[BEGINNING BALANCE]])-1)),"")</f>
        <v>141274.16023956402</v>
      </c>
      <c r="E103" s="32">
        <f>IF(PaymentSchedule45[[#This Row],[PMT NO]]&lt;&gt;"",ScheduledPayment,"")</f>
        <v>1294.2429434851008</v>
      </c>
      <c r="F10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0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03" s="32">
        <f>IF(PaymentSchedule45[[#This Row],[PMT NO]]&lt;&gt;"",PaymentSchedule45[[#This Row],[TOTAL PAYMENT]]-PaymentSchedule45[[#This Row],[INTEREST]],"")</f>
        <v>140.50396819532784</v>
      </c>
      <c r="I103" s="32">
        <f>IF(PaymentSchedule45[[#This Row],[PMT NO]]&lt;&gt;"",PaymentSchedule45[[#This Row],[BEGINNING BALANCE]]*(InterestRate/PaymentsPerYear),"")</f>
        <v>1153.738975289773</v>
      </c>
      <c r="J10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141133.6562713687</v>
      </c>
      <c r="K103" s="32">
        <f>IF(PaymentSchedule45[[#This Row],[PMT NO]]&lt;&gt;"",SUM(INDEX(PaymentSchedule45[INTEREST],1,1):PaymentSchedule45[[#This Row],[INTEREST]]),"")</f>
        <v>105027.03529805748</v>
      </c>
    </row>
    <row r="104" spans="2:11" x14ac:dyDescent="0.3">
      <c r="B104" s="30">
        <f>IF(LoanIsGood,IF(ROW()-ROW(PaymentSchedule45[[#Headers],[PMT NO]])&gt;ScheduledNumberOfPayments,"",ROW()-ROW(PaymentSchedule45[[#Headers],[PMT NO]])),"")</f>
        <v>89</v>
      </c>
      <c r="C104" s="31">
        <f>IF(PaymentSchedule45[[#This Row],[PMT NO]]&lt;&gt;"",EOMONTH(LoanStartDate,ROW(PaymentSchedule45[[#This Row],[PMT NO]])-ROW(PaymentSchedule45[[#Headers],[PMT NO]])-2)+DAY(LoanStartDate),"")</f>
        <v>46054</v>
      </c>
      <c r="D104" s="32">
        <f>IF(PaymentSchedule45[[#This Row],[PMT NO]]&lt;&gt;"",IF(ROW()-ROW(PaymentSchedule45[[#Headers],[BEGINNING BALANCE]])=1,LoanAmount,INDEX(PaymentSchedule45[ENDING BALANCE],ROW()-ROW(PaymentSchedule45[[#Headers],[BEGINNING BALANCE]])-1)),"")</f>
        <v>141133.6562713687</v>
      </c>
      <c r="E104" s="32">
        <f>IF(PaymentSchedule45[[#This Row],[PMT NO]]&lt;&gt;"",ScheduledPayment,"")</f>
        <v>1294.2429434851008</v>
      </c>
      <c r="F10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0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04" s="32">
        <f>IF(PaymentSchedule45[[#This Row],[PMT NO]]&lt;&gt;"",PaymentSchedule45[[#This Row],[TOTAL PAYMENT]]-PaymentSchedule45[[#This Row],[INTEREST]],"")</f>
        <v>141.65141726892284</v>
      </c>
      <c r="I104" s="32">
        <f>IF(PaymentSchedule45[[#This Row],[PMT NO]]&lt;&gt;"",PaymentSchedule45[[#This Row],[BEGINNING BALANCE]]*(InterestRate/PaymentsPerYear),"")</f>
        <v>1152.591526216178</v>
      </c>
      <c r="J10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140992.00485409977</v>
      </c>
      <c r="K104" s="32">
        <f>IF(PaymentSchedule45[[#This Row],[PMT NO]]&lt;&gt;"",SUM(INDEX(PaymentSchedule45[INTEREST],1,1):PaymentSchedule45[[#This Row],[INTEREST]]),"")</f>
        <v>106179.62682427366</v>
      </c>
    </row>
    <row r="105" spans="2:11" x14ac:dyDescent="0.3">
      <c r="B105" s="30">
        <f>IF(LoanIsGood,IF(ROW()-ROW(PaymentSchedule45[[#Headers],[PMT NO]])&gt;ScheduledNumberOfPayments,"",ROW()-ROW(PaymentSchedule45[[#Headers],[PMT NO]])),"")</f>
        <v>90</v>
      </c>
      <c r="C105" s="31">
        <f>IF(PaymentSchedule45[[#This Row],[PMT NO]]&lt;&gt;"",EOMONTH(LoanStartDate,ROW(PaymentSchedule45[[#This Row],[PMT NO]])-ROW(PaymentSchedule45[[#Headers],[PMT NO]])-2)+DAY(LoanStartDate),"")</f>
        <v>46082</v>
      </c>
      <c r="D105" s="32">
        <f>IF(PaymentSchedule45[[#This Row],[PMT NO]]&lt;&gt;"",IF(ROW()-ROW(PaymentSchedule45[[#Headers],[BEGINNING BALANCE]])=1,LoanAmount,INDEX(PaymentSchedule45[ENDING BALANCE],ROW()-ROW(PaymentSchedule45[[#Headers],[BEGINNING BALANCE]])-1)),"")</f>
        <v>140992.00485409977</v>
      </c>
      <c r="E105" s="32">
        <f>IF(PaymentSchedule45[[#This Row],[PMT NO]]&lt;&gt;"",ScheduledPayment,"")</f>
        <v>1294.2429434851008</v>
      </c>
      <c r="F10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0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05" s="32">
        <f>IF(PaymentSchedule45[[#This Row],[PMT NO]]&lt;&gt;"",PaymentSchedule45[[#This Row],[TOTAL PAYMENT]]-PaymentSchedule45[[#This Row],[INTEREST]],"")</f>
        <v>142.80823717661929</v>
      </c>
      <c r="I105" s="32">
        <f>IF(PaymentSchedule45[[#This Row],[PMT NO]]&lt;&gt;"",PaymentSchedule45[[#This Row],[BEGINNING BALANCE]]*(InterestRate/PaymentsPerYear),"")</f>
        <v>1151.4347063084815</v>
      </c>
      <c r="J10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140849.19661692315</v>
      </c>
      <c r="K105" s="32">
        <f>IF(PaymentSchedule45[[#This Row],[PMT NO]]&lt;&gt;"",SUM(INDEX(PaymentSchedule45[INTEREST],1,1):PaymentSchedule45[[#This Row],[INTEREST]]),"")</f>
        <v>107331.06153058214</v>
      </c>
    </row>
    <row r="106" spans="2:11" x14ac:dyDescent="0.3">
      <c r="B106" s="30">
        <f>IF(LoanIsGood,IF(ROW()-ROW(PaymentSchedule45[[#Headers],[PMT NO]])&gt;ScheduledNumberOfPayments,"",ROW()-ROW(PaymentSchedule45[[#Headers],[PMT NO]])),"")</f>
        <v>91</v>
      </c>
      <c r="C106" s="31">
        <f>IF(PaymentSchedule45[[#This Row],[PMT NO]]&lt;&gt;"",EOMONTH(LoanStartDate,ROW(PaymentSchedule45[[#This Row],[PMT NO]])-ROW(PaymentSchedule45[[#Headers],[PMT NO]])-2)+DAY(LoanStartDate),"")</f>
        <v>46113</v>
      </c>
      <c r="D106" s="32">
        <f>IF(PaymentSchedule45[[#This Row],[PMT NO]]&lt;&gt;"",IF(ROW()-ROW(PaymentSchedule45[[#Headers],[BEGINNING BALANCE]])=1,LoanAmount,INDEX(PaymentSchedule45[ENDING BALANCE],ROW()-ROW(PaymentSchedule45[[#Headers],[BEGINNING BALANCE]])-1)),"")</f>
        <v>140849.19661692315</v>
      </c>
      <c r="E106" s="32">
        <f>IF(PaymentSchedule45[[#This Row],[PMT NO]]&lt;&gt;"",ScheduledPayment,"")</f>
        <v>1294.2429434851008</v>
      </c>
      <c r="F10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0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06" s="32">
        <f>IF(PaymentSchedule45[[#This Row],[PMT NO]]&lt;&gt;"",PaymentSchedule45[[#This Row],[TOTAL PAYMENT]]-PaymentSchedule45[[#This Row],[INTEREST]],"")</f>
        <v>143.97450444689503</v>
      </c>
      <c r="I106" s="32">
        <f>IF(PaymentSchedule45[[#This Row],[PMT NO]]&lt;&gt;"",PaymentSchedule45[[#This Row],[BEGINNING BALANCE]]*(InterestRate/PaymentsPerYear),"")</f>
        <v>1150.2684390382058</v>
      </c>
      <c r="J10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140705.22211247624</v>
      </c>
      <c r="K106" s="32">
        <f>IF(PaymentSchedule45[[#This Row],[PMT NO]]&lt;&gt;"",SUM(INDEX(PaymentSchedule45[INTEREST],1,1):PaymentSchedule45[[#This Row],[INTEREST]]),"")</f>
        <v>108481.32996962035</v>
      </c>
    </row>
    <row r="107" spans="2:11" x14ac:dyDescent="0.3">
      <c r="B107" s="30">
        <f>IF(LoanIsGood,IF(ROW()-ROW(PaymentSchedule45[[#Headers],[PMT NO]])&gt;ScheduledNumberOfPayments,"",ROW()-ROW(PaymentSchedule45[[#Headers],[PMT NO]])),"")</f>
        <v>92</v>
      </c>
      <c r="C107" s="31">
        <f>IF(PaymentSchedule45[[#This Row],[PMT NO]]&lt;&gt;"",EOMONTH(LoanStartDate,ROW(PaymentSchedule45[[#This Row],[PMT NO]])-ROW(PaymentSchedule45[[#Headers],[PMT NO]])-2)+DAY(LoanStartDate),"")</f>
        <v>46143</v>
      </c>
      <c r="D107" s="32">
        <f>IF(PaymentSchedule45[[#This Row],[PMT NO]]&lt;&gt;"",IF(ROW()-ROW(PaymentSchedule45[[#Headers],[BEGINNING BALANCE]])=1,LoanAmount,INDEX(PaymentSchedule45[ENDING BALANCE],ROW()-ROW(PaymentSchedule45[[#Headers],[BEGINNING BALANCE]])-1)),"")</f>
        <v>140705.22211247624</v>
      </c>
      <c r="E107" s="32">
        <f>IF(PaymentSchedule45[[#This Row],[PMT NO]]&lt;&gt;"",ScheduledPayment,"")</f>
        <v>1294.2429434851008</v>
      </c>
      <c r="F10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0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07" s="32">
        <f>IF(PaymentSchedule45[[#This Row],[PMT NO]]&lt;&gt;"",PaymentSchedule45[[#This Row],[TOTAL PAYMENT]]-PaymentSchedule45[[#This Row],[INTEREST]],"")</f>
        <v>145.15029623321129</v>
      </c>
      <c r="I107" s="32">
        <f>IF(PaymentSchedule45[[#This Row],[PMT NO]]&lt;&gt;"",PaymentSchedule45[[#This Row],[BEGINNING BALANCE]]*(InterestRate/PaymentsPerYear),"")</f>
        <v>1149.0926472518895</v>
      </c>
      <c r="J10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140560.07181624303</v>
      </c>
      <c r="K107" s="32">
        <f>IF(PaymentSchedule45[[#This Row],[PMT NO]]&lt;&gt;"",SUM(INDEX(PaymentSchedule45[INTEREST],1,1):PaymentSchedule45[[#This Row],[INTEREST]]),"")</f>
        <v>109630.42261687224</v>
      </c>
    </row>
    <row r="108" spans="2:11" x14ac:dyDescent="0.3">
      <c r="B108" s="30">
        <f>IF(LoanIsGood,IF(ROW()-ROW(PaymentSchedule45[[#Headers],[PMT NO]])&gt;ScheduledNumberOfPayments,"",ROW()-ROW(PaymentSchedule45[[#Headers],[PMT NO]])),"")</f>
        <v>93</v>
      </c>
      <c r="C108" s="31">
        <f>IF(PaymentSchedule45[[#This Row],[PMT NO]]&lt;&gt;"",EOMONTH(LoanStartDate,ROW(PaymentSchedule45[[#This Row],[PMT NO]])-ROW(PaymentSchedule45[[#Headers],[PMT NO]])-2)+DAY(LoanStartDate),"")</f>
        <v>46174</v>
      </c>
      <c r="D108" s="32">
        <f>IF(PaymentSchedule45[[#This Row],[PMT NO]]&lt;&gt;"",IF(ROW()-ROW(PaymentSchedule45[[#Headers],[BEGINNING BALANCE]])=1,LoanAmount,INDEX(PaymentSchedule45[ENDING BALANCE],ROW()-ROW(PaymentSchedule45[[#Headers],[BEGINNING BALANCE]])-1)),"")</f>
        <v>140560.07181624303</v>
      </c>
      <c r="E108" s="32">
        <f>IF(PaymentSchedule45[[#This Row],[PMT NO]]&lt;&gt;"",ScheduledPayment,"")</f>
        <v>1294.2429434851008</v>
      </c>
      <c r="F10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0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08" s="32">
        <f>IF(PaymentSchedule45[[#This Row],[PMT NO]]&lt;&gt;"",PaymentSchedule45[[#This Row],[TOTAL PAYMENT]]-PaymentSchedule45[[#This Row],[INTEREST]],"")</f>
        <v>146.33569031911588</v>
      </c>
      <c r="I108" s="32">
        <f>IF(PaymentSchedule45[[#This Row],[PMT NO]]&lt;&gt;"",PaymentSchedule45[[#This Row],[BEGINNING BALANCE]]*(InterestRate/PaymentsPerYear),"")</f>
        <v>1147.9072531659849</v>
      </c>
      <c r="J10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140413.73612592393</v>
      </c>
      <c r="K108" s="32">
        <f>IF(PaymentSchedule45[[#This Row],[PMT NO]]&lt;&gt;"",SUM(INDEX(PaymentSchedule45[INTEREST],1,1):PaymentSchedule45[[#This Row],[INTEREST]]),"")</f>
        <v>110778.32987003823</v>
      </c>
    </row>
    <row r="109" spans="2:11" x14ac:dyDescent="0.3">
      <c r="B109" s="30">
        <f>IF(LoanIsGood,IF(ROW()-ROW(PaymentSchedule45[[#Headers],[PMT NO]])&gt;ScheduledNumberOfPayments,"",ROW()-ROW(PaymentSchedule45[[#Headers],[PMT NO]])),"")</f>
        <v>94</v>
      </c>
      <c r="C109" s="31">
        <f>IF(PaymentSchedule45[[#This Row],[PMT NO]]&lt;&gt;"",EOMONTH(LoanStartDate,ROW(PaymentSchedule45[[#This Row],[PMT NO]])-ROW(PaymentSchedule45[[#Headers],[PMT NO]])-2)+DAY(LoanStartDate),"")</f>
        <v>46204</v>
      </c>
      <c r="D109" s="32">
        <f>IF(PaymentSchedule45[[#This Row],[PMT NO]]&lt;&gt;"",IF(ROW()-ROW(PaymentSchedule45[[#Headers],[BEGINNING BALANCE]])=1,LoanAmount,INDEX(PaymentSchedule45[ENDING BALANCE],ROW()-ROW(PaymentSchedule45[[#Headers],[BEGINNING BALANCE]])-1)),"")</f>
        <v>140413.73612592393</v>
      </c>
      <c r="E109" s="32">
        <f>IF(PaymentSchedule45[[#This Row],[PMT NO]]&lt;&gt;"",ScheduledPayment,"")</f>
        <v>1294.2429434851008</v>
      </c>
      <c r="F10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0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09" s="32">
        <f>IF(PaymentSchedule45[[#This Row],[PMT NO]]&lt;&gt;"",PaymentSchedule45[[#This Row],[TOTAL PAYMENT]]-PaymentSchedule45[[#This Row],[INTEREST]],"")</f>
        <v>147.53076512338862</v>
      </c>
      <c r="I109" s="32">
        <f>IF(PaymentSchedule45[[#This Row],[PMT NO]]&lt;&gt;"",PaymentSchedule45[[#This Row],[BEGINNING BALANCE]]*(InterestRate/PaymentsPerYear),"")</f>
        <v>1146.7121783617122</v>
      </c>
      <c r="J10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140266.20536080055</v>
      </c>
      <c r="K109" s="32">
        <f>IF(PaymentSchedule45[[#This Row],[PMT NO]]&lt;&gt;"",SUM(INDEX(PaymentSchedule45[INTEREST],1,1):PaymentSchedule45[[#This Row],[INTEREST]]),"")</f>
        <v>111925.04204839995</v>
      </c>
    </row>
    <row r="110" spans="2:11" x14ac:dyDescent="0.3">
      <c r="B110" s="30">
        <f>IF(LoanIsGood,IF(ROW()-ROW(PaymentSchedule45[[#Headers],[PMT NO]])&gt;ScheduledNumberOfPayments,"",ROW()-ROW(PaymentSchedule45[[#Headers],[PMT NO]])),"")</f>
        <v>95</v>
      </c>
      <c r="C110" s="31">
        <f>IF(PaymentSchedule45[[#This Row],[PMT NO]]&lt;&gt;"",EOMONTH(LoanStartDate,ROW(PaymentSchedule45[[#This Row],[PMT NO]])-ROW(PaymentSchedule45[[#Headers],[PMT NO]])-2)+DAY(LoanStartDate),"")</f>
        <v>46235</v>
      </c>
      <c r="D110" s="32">
        <f>IF(PaymentSchedule45[[#This Row],[PMT NO]]&lt;&gt;"",IF(ROW()-ROW(PaymentSchedule45[[#Headers],[BEGINNING BALANCE]])=1,LoanAmount,INDEX(PaymentSchedule45[ENDING BALANCE],ROW()-ROW(PaymentSchedule45[[#Headers],[BEGINNING BALANCE]])-1)),"")</f>
        <v>140266.20536080055</v>
      </c>
      <c r="E110" s="32">
        <f>IF(PaymentSchedule45[[#This Row],[PMT NO]]&lt;&gt;"",ScheduledPayment,"")</f>
        <v>1294.2429434851008</v>
      </c>
      <c r="F11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1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10" s="32">
        <f>IF(PaymentSchedule45[[#This Row],[PMT NO]]&lt;&gt;"",PaymentSchedule45[[#This Row],[TOTAL PAYMENT]]-PaymentSchedule45[[#This Row],[INTEREST]],"")</f>
        <v>148.73559970522956</v>
      </c>
      <c r="I110" s="32">
        <f>IF(PaymentSchedule45[[#This Row],[PMT NO]]&lt;&gt;"",PaymentSchedule45[[#This Row],[BEGINNING BALANCE]]*(InterestRate/PaymentsPerYear),"")</f>
        <v>1145.5073437798712</v>
      </c>
      <c r="J11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140117.46976109533</v>
      </c>
      <c r="K110" s="32">
        <f>IF(PaymentSchedule45[[#This Row],[PMT NO]]&lt;&gt;"",SUM(INDEX(PaymentSchedule45[INTEREST],1,1):PaymentSchedule45[[#This Row],[INTEREST]]),"")</f>
        <v>113070.54939217982</v>
      </c>
    </row>
    <row r="111" spans="2:11" x14ac:dyDescent="0.3">
      <c r="B111" s="30">
        <f>IF(LoanIsGood,IF(ROW()-ROW(PaymentSchedule45[[#Headers],[PMT NO]])&gt;ScheduledNumberOfPayments,"",ROW()-ROW(PaymentSchedule45[[#Headers],[PMT NO]])),"")</f>
        <v>96</v>
      </c>
      <c r="C111" s="31">
        <f>IF(PaymentSchedule45[[#This Row],[PMT NO]]&lt;&gt;"",EOMONTH(LoanStartDate,ROW(PaymentSchedule45[[#This Row],[PMT NO]])-ROW(PaymentSchedule45[[#Headers],[PMT NO]])-2)+DAY(LoanStartDate),"")</f>
        <v>46266</v>
      </c>
      <c r="D111" s="32">
        <f>IF(PaymentSchedule45[[#This Row],[PMT NO]]&lt;&gt;"",IF(ROW()-ROW(PaymentSchedule45[[#Headers],[BEGINNING BALANCE]])=1,LoanAmount,INDEX(PaymentSchedule45[ENDING BALANCE],ROW()-ROW(PaymentSchedule45[[#Headers],[BEGINNING BALANCE]])-1)),"")</f>
        <v>140117.46976109533</v>
      </c>
      <c r="E111" s="32">
        <f>IF(PaymentSchedule45[[#This Row],[PMT NO]]&lt;&gt;"",ScheduledPayment,"")</f>
        <v>1294.2429434851008</v>
      </c>
      <c r="F11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1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11" s="32">
        <f>IF(PaymentSchedule45[[#This Row],[PMT NO]]&lt;&gt;"",PaymentSchedule45[[#This Row],[TOTAL PAYMENT]]-PaymentSchedule45[[#This Row],[INTEREST]],"")</f>
        <v>149.95027376948883</v>
      </c>
      <c r="I111" s="32">
        <f>IF(PaymentSchedule45[[#This Row],[PMT NO]]&lt;&gt;"",PaymentSchedule45[[#This Row],[BEGINNING BALANCE]]*(InterestRate/PaymentsPerYear),"")</f>
        <v>1144.292669715612</v>
      </c>
      <c r="J11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139967.51948732583</v>
      </c>
      <c r="K111" s="32">
        <f>IF(PaymentSchedule45[[#This Row],[PMT NO]]&lt;&gt;"",SUM(INDEX(PaymentSchedule45[INTEREST],1,1):PaymentSchedule45[[#This Row],[INTEREST]]),"")</f>
        <v>114214.84206189543</v>
      </c>
    </row>
    <row r="112" spans="2:11" x14ac:dyDescent="0.3">
      <c r="B112" s="30">
        <f>IF(LoanIsGood,IF(ROW()-ROW(PaymentSchedule45[[#Headers],[PMT NO]])&gt;ScheduledNumberOfPayments,"",ROW()-ROW(PaymentSchedule45[[#Headers],[PMT NO]])),"")</f>
        <v>97</v>
      </c>
      <c r="C112" s="31">
        <f>IF(PaymentSchedule45[[#This Row],[PMT NO]]&lt;&gt;"",EOMONTH(LoanStartDate,ROW(PaymentSchedule45[[#This Row],[PMT NO]])-ROW(PaymentSchedule45[[#Headers],[PMT NO]])-2)+DAY(LoanStartDate),"")</f>
        <v>46296</v>
      </c>
      <c r="D112" s="32">
        <f>IF(PaymentSchedule45[[#This Row],[PMT NO]]&lt;&gt;"",IF(ROW()-ROW(PaymentSchedule45[[#Headers],[BEGINNING BALANCE]])=1,LoanAmount,INDEX(PaymentSchedule45[ENDING BALANCE],ROW()-ROW(PaymentSchedule45[[#Headers],[BEGINNING BALANCE]])-1)),"")</f>
        <v>139967.51948732583</v>
      </c>
      <c r="E112" s="32">
        <f>IF(PaymentSchedule45[[#This Row],[PMT NO]]&lt;&gt;"",ScheduledPayment,"")</f>
        <v>1294.2429434851008</v>
      </c>
      <c r="F11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1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12" s="32">
        <f>IF(PaymentSchedule45[[#This Row],[PMT NO]]&lt;&gt;"",PaymentSchedule45[[#This Row],[TOTAL PAYMENT]]-PaymentSchedule45[[#This Row],[INTEREST]],"")</f>
        <v>151.17486767193964</v>
      </c>
      <c r="I112" s="32">
        <f>IF(PaymentSchedule45[[#This Row],[PMT NO]]&lt;&gt;"",PaymentSchedule45[[#This Row],[BEGINNING BALANCE]]*(InterestRate/PaymentsPerYear),"")</f>
        <v>1143.0680758131612</v>
      </c>
      <c r="J11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139816.34461965389</v>
      </c>
      <c r="K112" s="32">
        <f>IF(PaymentSchedule45[[#This Row],[PMT NO]]&lt;&gt;"",SUM(INDEX(PaymentSchedule45[INTEREST],1,1):PaymentSchedule45[[#This Row],[INTEREST]]),"")</f>
        <v>115357.91013770859</v>
      </c>
    </row>
    <row r="113" spans="2:11" x14ac:dyDescent="0.3">
      <c r="B113" s="30">
        <f>IF(LoanIsGood,IF(ROW()-ROW(PaymentSchedule45[[#Headers],[PMT NO]])&gt;ScheduledNumberOfPayments,"",ROW()-ROW(PaymentSchedule45[[#Headers],[PMT NO]])),"")</f>
        <v>98</v>
      </c>
      <c r="C113" s="31">
        <f>IF(PaymentSchedule45[[#This Row],[PMT NO]]&lt;&gt;"",EOMONTH(LoanStartDate,ROW(PaymentSchedule45[[#This Row],[PMT NO]])-ROW(PaymentSchedule45[[#Headers],[PMT NO]])-2)+DAY(LoanStartDate),"")</f>
        <v>46327</v>
      </c>
      <c r="D113" s="32">
        <f>IF(PaymentSchedule45[[#This Row],[PMT NO]]&lt;&gt;"",IF(ROW()-ROW(PaymentSchedule45[[#Headers],[BEGINNING BALANCE]])=1,LoanAmount,INDEX(PaymentSchedule45[ENDING BALANCE],ROW()-ROW(PaymentSchedule45[[#Headers],[BEGINNING BALANCE]])-1)),"")</f>
        <v>139816.34461965389</v>
      </c>
      <c r="E113" s="32">
        <f>IF(PaymentSchedule45[[#This Row],[PMT NO]]&lt;&gt;"",ScheduledPayment,"")</f>
        <v>1294.2429434851008</v>
      </c>
      <c r="F11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1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13" s="32">
        <f>IF(PaymentSchedule45[[#This Row],[PMT NO]]&lt;&gt;"",PaymentSchedule45[[#This Row],[TOTAL PAYMENT]]-PaymentSchedule45[[#This Row],[INTEREST]],"")</f>
        <v>152.40946242459404</v>
      </c>
      <c r="I113" s="32">
        <f>IF(PaymentSchedule45[[#This Row],[PMT NO]]&lt;&gt;"",PaymentSchedule45[[#This Row],[BEGINNING BALANCE]]*(InterestRate/PaymentsPerYear),"")</f>
        <v>1141.8334810605068</v>
      </c>
      <c r="J11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139663.93515722928</v>
      </c>
      <c r="K113" s="32">
        <f>IF(PaymentSchedule45[[#This Row],[PMT NO]]&lt;&gt;"",SUM(INDEX(PaymentSchedule45[INTEREST],1,1):PaymentSchedule45[[#This Row],[INTEREST]]),"")</f>
        <v>116499.74361876909</v>
      </c>
    </row>
    <row r="114" spans="2:11" x14ac:dyDescent="0.3">
      <c r="B114" s="30">
        <f>IF(LoanIsGood,IF(ROW()-ROW(PaymentSchedule45[[#Headers],[PMT NO]])&gt;ScheduledNumberOfPayments,"",ROW()-ROW(PaymentSchedule45[[#Headers],[PMT NO]])),"")</f>
        <v>99</v>
      </c>
      <c r="C114" s="31">
        <f>IF(PaymentSchedule45[[#This Row],[PMT NO]]&lt;&gt;"",EOMONTH(LoanStartDate,ROW(PaymentSchedule45[[#This Row],[PMT NO]])-ROW(PaymentSchedule45[[#Headers],[PMT NO]])-2)+DAY(LoanStartDate),"")</f>
        <v>46357</v>
      </c>
      <c r="D114" s="32">
        <f>IF(PaymentSchedule45[[#This Row],[PMT NO]]&lt;&gt;"",IF(ROW()-ROW(PaymentSchedule45[[#Headers],[BEGINNING BALANCE]])=1,LoanAmount,INDEX(PaymentSchedule45[ENDING BALANCE],ROW()-ROW(PaymentSchedule45[[#Headers],[BEGINNING BALANCE]])-1)),"")</f>
        <v>139663.93515722928</v>
      </c>
      <c r="E114" s="32">
        <f>IF(PaymentSchedule45[[#This Row],[PMT NO]]&lt;&gt;"",ScheduledPayment,"")</f>
        <v>1294.2429434851008</v>
      </c>
      <c r="F11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1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14" s="32">
        <f>IF(PaymentSchedule45[[#This Row],[PMT NO]]&lt;&gt;"",PaymentSchedule45[[#This Row],[TOTAL PAYMENT]]-PaymentSchedule45[[#This Row],[INTEREST]],"")</f>
        <v>153.65413970106147</v>
      </c>
      <c r="I114" s="32">
        <f>IF(PaymentSchedule45[[#This Row],[PMT NO]]&lt;&gt;"",PaymentSchedule45[[#This Row],[BEGINNING BALANCE]]*(InterestRate/PaymentsPerYear),"")</f>
        <v>1140.5888037840393</v>
      </c>
      <c r="J11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139510.28101752821</v>
      </c>
      <c r="K114" s="32">
        <f>IF(PaymentSchedule45[[#This Row],[PMT NO]]&lt;&gt;"",SUM(INDEX(PaymentSchedule45[INTEREST],1,1):PaymentSchedule45[[#This Row],[INTEREST]]),"")</f>
        <v>117640.33242255313</v>
      </c>
    </row>
    <row r="115" spans="2:11" x14ac:dyDescent="0.3">
      <c r="B115" s="30">
        <f>IF(LoanIsGood,IF(ROW()-ROW(PaymentSchedule45[[#Headers],[PMT NO]])&gt;ScheduledNumberOfPayments,"",ROW()-ROW(PaymentSchedule45[[#Headers],[PMT NO]])),"")</f>
        <v>100</v>
      </c>
      <c r="C115" s="31">
        <f>IF(PaymentSchedule45[[#This Row],[PMT NO]]&lt;&gt;"",EOMONTH(LoanStartDate,ROW(PaymentSchedule45[[#This Row],[PMT NO]])-ROW(PaymentSchedule45[[#Headers],[PMT NO]])-2)+DAY(LoanStartDate),"")</f>
        <v>46388</v>
      </c>
      <c r="D115" s="32">
        <f>IF(PaymentSchedule45[[#This Row],[PMT NO]]&lt;&gt;"",IF(ROW()-ROW(PaymentSchedule45[[#Headers],[BEGINNING BALANCE]])=1,LoanAmount,INDEX(PaymentSchedule45[ENDING BALANCE],ROW()-ROW(PaymentSchedule45[[#Headers],[BEGINNING BALANCE]])-1)),"")</f>
        <v>139510.28101752821</v>
      </c>
      <c r="E115" s="32">
        <f>IF(PaymentSchedule45[[#This Row],[PMT NO]]&lt;&gt;"",ScheduledPayment,"")</f>
        <v>1294.2429434851008</v>
      </c>
      <c r="F11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1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15" s="32">
        <f>IF(PaymentSchedule45[[#This Row],[PMT NO]]&lt;&gt;"",PaymentSchedule45[[#This Row],[TOTAL PAYMENT]]-PaymentSchedule45[[#This Row],[INTEREST]],"")</f>
        <v>154.90898184195362</v>
      </c>
      <c r="I115" s="32">
        <f>IF(PaymentSchedule45[[#This Row],[PMT NO]]&lt;&gt;"",PaymentSchedule45[[#This Row],[BEGINNING BALANCE]]*(InterestRate/PaymentsPerYear),"")</f>
        <v>1139.3339616431472</v>
      </c>
      <c r="J11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139355.37203568625</v>
      </c>
      <c r="K115" s="32">
        <f>IF(PaymentSchedule45[[#This Row],[PMT NO]]&lt;&gt;"",SUM(INDEX(PaymentSchedule45[INTEREST],1,1):PaymentSchedule45[[#This Row],[INTEREST]]),"")</f>
        <v>118779.66638419627</v>
      </c>
    </row>
    <row r="116" spans="2:11" x14ac:dyDescent="0.3">
      <c r="B116" s="30">
        <f>IF(LoanIsGood,IF(ROW()-ROW(PaymentSchedule45[[#Headers],[PMT NO]])&gt;ScheduledNumberOfPayments,"",ROW()-ROW(PaymentSchedule45[[#Headers],[PMT NO]])),"")</f>
        <v>101</v>
      </c>
      <c r="C116" s="31">
        <f>IF(PaymentSchedule45[[#This Row],[PMT NO]]&lt;&gt;"",EOMONTH(LoanStartDate,ROW(PaymentSchedule45[[#This Row],[PMT NO]])-ROW(PaymentSchedule45[[#Headers],[PMT NO]])-2)+DAY(LoanStartDate),"")</f>
        <v>46419</v>
      </c>
      <c r="D116" s="32">
        <f>IF(PaymentSchedule45[[#This Row],[PMT NO]]&lt;&gt;"",IF(ROW()-ROW(PaymentSchedule45[[#Headers],[BEGINNING BALANCE]])=1,LoanAmount,INDEX(PaymentSchedule45[ENDING BALANCE],ROW()-ROW(PaymentSchedule45[[#Headers],[BEGINNING BALANCE]])-1)),"")</f>
        <v>139355.37203568625</v>
      </c>
      <c r="E116" s="32">
        <f>IF(PaymentSchedule45[[#This Row],[PMT NO]]&lt;&gt;"",ScheduledPayment,"")</f>
        <v>1294.2429434851008</v>
      </c>
      <c r="F11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1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16" s="32">
        <f>IF(PaymentSchedule45[[#This Row],[PMT NO]]&lt;&gt;"",PaymentSchedule45[[#This Row],[TOTAL PAYMENT]]-PaymentSchedule45[[#This Row],[INTEREST]],"")</f>
        <v>156.1740718603296</v>
      </c>
      <c r="I116" s="32">
        <f>IF(PaymentSchedule45[[#This Row],[PMT NO]]&lt;&gt;"",PaymentSchedule45[[#This Row],[BEGINNING BALANCE]]*(InterestRate/PaymentsPerYear),"")</f>
        <v>1138.0688716247712</v>
      </c>
      <c r="J11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139199.19796382592</v>
      </c>
      <c r="K116" s="32">
        <f>IF(PaymentSchedule45[[#This Row],[PMT NO]]&lt;&gt;"",SUM(INDEX(PaymentSchedule45[INTEREST],1,1):PaymentSchedule45[[#This Row],[INTEREST]]),"")</f>
        <v>119917.73525582104</v>
      </c>
    </row>
    <row r="117" spans="2:11" x14ac:dyDescent="0.3">
      <c r="B117" s="30">
        <f>IF(LoanIsGood,IF(ROW()-ROW(PaymentSchedule45[[#Headers],[PMT NO]])&gt;ScheduledNumberOfPayments,"",ROW()-ROW(PaymentSchedule45[[#Headers],[PMT NO]])),"")</f>
        <v>102</v>
      </c>
      <c r="C117" s="31">
        <f>IF(PaymentSchedule45[[#This Row],[PMT NO]]&lt;&gt;"",EOMONTH(LoanStartDate,ROW(PaymentSchedule45[[#This Row],[PMT NO]])-ROW(PaymentSchedule45[[#Headers],[PMT NO]])-2)+DAY(LoanStartDate),"")</f>
        <v>46447</v>
      </c>
      <c r="D117" s="32">
        <f>IF(PaymentSchedule45[[#This Row],[PMT NO]]&lt;&gt;"",IF(ROW()-ROW(PaymentSchedule45[[#Headers],[BEGINNING BALANCE]])=1,LoanAmount,INDEX(PaymentSchedule45[ENDING BALANCE],ROW()-ROW(PaymentSchedule45[[#Headers],[BEGINNING BALANCE]])-1)),"")</f>
        <v>139199.19796382592</v>
      </c>
      <c r="E117" s="32">
        <f>IF(PaymentSchedule45[[#This Row],[PMT NO]]&lt;&gt;"",ScheduledPayment,"")</f>
        <v>1294.2429434851008</v>
      </c>
      <c r="F11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1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17" s="32">
        <f>IF(PaymentSchedule45[[#This Row],[PMT NO]]&lt;&gt;"",PaymentSchedule45[[#This Row],[TOTAL PAYMENT]]-PaymentSchedule45[[#This Row],[INTEREST]],"")</f>
        <v>157.44949344718907</v>
      </c>
      <c r="I117" s="32">
        <f>IF(PaymentSchedule45[[#This Row],[PMT NO]]&lt;&gt;"",PaymentSchedule45[[#This Row],[BEGINNING BALANCE]]*(InterestRate/PaymentsPerYear),"")</f>
        <v>1136.7934500379117</v>
      </c>
      <c r="J11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139041.74847037872</v>
      </c>
      <c r="K117" s="32">
        <f>IF(PaymentSchedule45[[#This Row],[PMT NO]]&lt;&gt;"",SUM(INDEX(PaymentSchedule45[INTEREST],1,1):PaymentSchedule45[[#This Row],[INTEREST]]),"")</f>
        <v>121054.52870585895</v>
      </c>
    </row>
    <row r="118" spans="2:11" x14ac:dyDescent="0.3">
      <c r="B118" s="30">
        <f>IF(LoanIsGood,IF(ROW()-ROW(PaymentSchedule45[[#Headers],[PMT NO]])&gt;ScheduledNumberOfPayments,"",ROW()-ROW(PaymentSchedule45[[#Headers],[PMT NO]])),"")</f>
        <v>103</v>
      </c>
      <c r="C118" s="31">
        <f>IF(PaymentSchedule45[[#This Row],[PMT NO]]&lt;&gt;"",EOMONTH(LoanStartDate,ROW(PaymentSchedule45[[#This Row],[PMT NO]])-ROW(PaymentSchedule45[[#Headers],[PMT NO]])-2)+DAY(LoanStartDate),"")</f>
        <v>46478</v>
      </c>
      <c r="D118" s="32">
        <f>IF(PaymentSchedule45[[#This Row],[PMT NO]]&lt;&gt;"",IF(ROW()-ROW(PaymentSchedule45[[#Headers],[BEGINNING BALANCE]])=1,LoanAmount,INDEX(PaymentSchedule45[ENDING BALANCE],ROW()-ROW(PaymentSchedule45[[#Headers],[BEGINNING BALANCE]])-1)),"")</f>
        <v>139041.74847037872</v>
      </c>
      <c r="E118" s="32">
        <f>IF(PaymentSchedule45[[#This Row],[PMT NO]]&lt;&gt;"",ScheduledPayment,"")</f>
        <v>1294.2429434851008</v>
      </c>
      <c r="F11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1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18" s="32">
        <f>IF(PaymentSchedule45[[#This Row],[PMT NO]]&lt;&gt;"",PaymentSchedule45[[#This Row],[TOTAL PAYMENT]]-PaymentSchedule45[[#This Row],[INTEREST]],"")</f>
        <v>158.73533097700783</v>
      </c>
      <c r="I118" s="32">
        <f>IF(PaymentSchedule45[[#This Row],[PMT NO]]&lt;&gt;"",PaymentSchedule45[[#This Row],[BEGINNING BALANCE]]*(InterestRate/PaymentsPerYear),"")</f>
        <v>1135.507612508093</v>
      </c>
      <c r="J11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138883.01313940171</v>
      </c>
      <c r="K118" s="32">
        <f>IF(PaymentSchedule45[[#This Row],[PMT NO]]&lt;&gt;"",SUM(INDEX(PaymentSchedule45[INTEREST],1,1):PaymentSchedule45[[#This Row],[INTEREST]]),"")</f>
        <v>122190.03631836704</v>
      </c>
    </row>
    <row r="119" spans="2:11" x14ac:dyDescent="0.3">
      <c r="B119" s="30">
        <f>IF(LoanIsGood,IF(ROW()-ROW(PaymentSchedule45[[#Headers],[PMT NO]])&gt;ScheduledNumberOfPayments,"",ROW()-ROW(PaymentSchedule45[[#Headers],[PMT NO]])),"")</f>
        <v>104</v>
      </c>
      <c r="C119" s="31">
        <f>IF(PaymentSchedule45[[#This Row],[PMT NO]]&lt;&gt;"",EOMONTH(LoanStartDate,ROW(PaymentSchedule45[[#This Row],[PMT NO]])-ROW(PaymentSchedule45[[#Headers],[PMT NO]])-2)+DAY(LoanStartDate),"")</f>
        <v>46508</v>
      </c>
      <c r="D119" s="32">
        <f>IF(PaymentSchedule45[[#This Row],[PMT NO]]&lt;&gt;"",IF(ROW()-ROW(PaymentSchedule45[[#Headers],[BEGINNING BALANCE]])=1,LoanAmount,INDEX(PaymentSchedule45[ENDING BALANCE],ROW()-ROW(PaymentSchedule45[[#Headers],[BEGINNING BALANCE]])-1)),"")</f>
        <v>138883.01313940171</v>
      </c>
      <c r="E119" s="32">
        <f>IF(PaymentSchedule45[[#This Row],[PMT NO]]&lt;&gt;"",ScheduledPayment,"")</f>
        <v>1294.2429434851008</v>
      </c>
      <c r="F11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1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19" s="32">
        <f>IF(PaymentSchedule45[[#This Row],[PMT NO]]&lt;&gt;"",PaymentSchedule45[[#This Row],[TOTAL PAYMENT]]-PaymentSchedule45[[#This Row],[INTEREST]],"")</f>
        <v>160.03166951332014</v>
      </c>
      <c r="I119" s="32">
        <f>IF(PaymentSchedule45[[#This Row],[PMT NO]]&lt;&gt;"",PaymentSchedule45[[#This Row],[BEGINNING BALANCE]]*(InterestRate/PaymentsPerYear),"")</f>
        <v>1134.2112739717807</v>
      </c>
      <c r="J11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138722.98146988839</v>
      </c>
      <c r="K119" s="32">
        <f>IF(PaymentSchedule45[[#This Row],[PMT NO]]&lt;&gt;"",SUM(INDEX(PaymentSchedule45[INTEREST],1,1):PaymentSchedule45[[#This Row],[INTEREST]]),"")</f>
        <v>123324.24759233883</v>
      </c>
    </row>
    <row r="120" spans="2:11" x14ac:dyDescent="0.3">
      <c r="B120" s="30">
        <f>IF(LoanIsGood,IF(ROW()-ROW(PaymentSchedule45[[#Headers],[PMT NO]])&gt;ScheduledNumberOfPayments,"",ROW()-ROW(PaymentSchedule45[[#Headers],[PMT NO]])),"")</f>
        <v>105</v>
      </c>
      <c r="C120" s="31">
        <f>IF(PaymentSchedule45[[#This Row],[PMT NO]]&lt;&gt;"",EOMONTH(LoanStartDate,ROW(PaymentSchedule45[[#This Row],[PMT NO]])-ROW(PaymentSchedule45[[#Headers],[PMT NO]])-2)+DAY(LoanStartDate),"")</f>
        <v>46539</v>
      </c>
      <c r="D120" s="32">
        <f>IF(PaymentSchedule45[[#This Row],[PMT NO]]&lt;&gt;"",IF(ROW()-ROW(PaymentSchedule45[[#Headers],[BEGINNING BALANCE]])=1,LoanAmount,INDEX(PaymentSchedule45[ENDING BALANCE],ROW()-ROW(PaymentSchedule45[[#Headers],[BEGINNING BALANCE]])-1)),"")</f>
        <v>138722.98146988839</v>
      </c>
      <c r="E120" s="32">
        <f>IF(PaymentSchedule45[[#This Row],[PMT NO]]&lt;&gt;"",ScheduledPayment,"")</f>
        <v>1294.2429434851008</v>
      </c>
      <c r="F12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2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20" s="32">
        <f>IF(PaymentSchedule45[[#This Row],[PMT NO]]&lt;&gt;"",PaymentSchedule45[[#This Row],[TOTAL PAYMENT]]-PaymentSchedule45[[#This Row],[INTEREST]],"")</f>
        <v>161.33859481434547</v>
      </c>
      <c r="I120" s="32">
        <f>IF(PaymentSchedule45[[#This Row],[PMT NO]]&lt;&gt;"",PaymentSchedule45[[#This Row],[BEGINNING BALANCE]]*(InterestRate/PaymentsPerYear),"")</f>
        <v>1132.9043486707553</v>
      </c>
      <c r="J12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138561.64287507403</v>
      </c>
      <c r="K120" s="32">
        <f>IF(PaymentSchedule45[[#This Row],[PMT NO]]&lt;&gt;"",SUM(INDEX(PaymentSchedule45[INTEREST],1,1):PaymentSchedule45[[#This Row],[INTEREST]]),"")</f>
        <v>124457.15194100958</v>
      </c>
    </row>
    <row r="121" spans="2:11" x14ac:dyDescent="0.3">
      <c r="B121" s="30">
        <f>IF(LoanIsGood,IF(ROW()-ROW(PaymentSchedule45[[#Headers],[PMT NO]])&gt;ScheduledNumberOfPayments,"",ROW()-ROW(PaymentSchedule45[[#Headers],[PMT NO]])),"")</f>
        <v>106</v>
      </c>
      <c r="C121" s="31">
        <f>IF(PaymentSchedule45[[#This Row],[PMT NO]]&lt;&gt;"",EOMONTH(LoanStartDate,ROW(PaymentSchedule45[[#This Row],[PMT NO]])-ROW(PaymentSchedule45[[#Headers],[PMT NO]])-2)+DAY(LoanStartDate),"")</f>
        <v>46569</v>
      </c>
      <c r="D121" s="32">
        <f>IF(PaymentSchedule45[[#This Row],[PMT NO]]&lt;&gt;"",IF(ROW()-ROW(PaymentSchedule45[[#Headers],[BEGINNING BALANCE]])=1,LoanAmount,INDEX(PaymentSchedule45[ENDING BALANCE],ROW()-ROW(PaymentSchedule45[[#Headers],[BEGINNING BALANCE]])-1)),"")</f>
        <v>138561.64287507403</v>
      </c>
      <c r="E121" s="32">
        <f>IF(PaymentSchedule45[[#This Row],[PMT NO]]&lt;&gt;"",ScheduledPayment,"")</f>
        <v>1294.2429434851008</v>
      </c>
      <c r="F12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2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21" s="32">
        <f>IF(PaymentSchedule45[[#This Row],[PMT NO]]&lt;&gt;"",PaymentSchedule45[[#This Row],[TOTAL PAYMENT]]-PaymentSchedule45[[#This Row],[INTEREST]],"")</f>
        <v>162.65619333866266</v>
      </c>
      <c r="I121" s="32">
        <f>IF(PaymentSchedule45[[#This Row],[PMT NO]]&lt;&gt;"",PaymentSchedule45[[#This Row],[BEGINNING BALANCE]]*(InterestRate/PaymentsPerYear),"")</f>
        <v>1131.5867501464381</v>
      </c>
      <c r="J12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138398.98668173538</v>
      </c>
      <c r="K121" s="32">
        <f>IF(PaymentSchedule45[[#This Row],[PMT NO]]&lt;&gt;"",SUM(INDEX(PaymentSchedule45[INTEREST],1,1):PaymentSchedule45[[#This Row],[INTEREST]]),"")</f>
        <v>125588.73869115602</v>
      </c>
    </row>
    <row r="122" spans="2:11" x14ac:dyDescent="0.3">
      <c r="B122" s="30">
        <f>IF(LoanIsGood,IF(ROW()-ROW(PaymentSchedule45[[#Headers],[PMT NO]])&gt;ScheduledNumberOfPayments,"",ROW()-ROW(PaymentSchedule45[[#Headers],[PMT NO]])),"")</f>
        <v>107</v>
      </c>
      <c r="C122" s="31">
        <f>IF(PaymentSchedule45[[#This Row],[PMT NO]]&lt;&gt;"",EOMONTH(LoanStartDate,ROW(PaymentSchedule45[[#This Row],[PMT NO]])-ROW(PaymentSchedule45[[#Headers],[PMT NO]])-2)+DAY(LoanStartDate),"")</f>
        <v>46600</v>
      </c>
      <c r="D122" s="32">
        <f>IF(PaymentSchedule45[[#This Row],[PMT NO]]&lt;&gt;"",IF(ROW()-ROW(PaymentSchedule45[[#Headers],[BEGINNING BALANCE]])=1,LoanAmount,INDEX(PaymentSchedule45[ENDING BALANCE],ROW()-ROW(PaymentSchedule45[[#Headers],[BEGINNING BALANCE]])-1)),"")</f>
        <v>138398.98668173538</v>
      </c>
      <c r="E122" s="32">
        <f>IF(PaymentSchedule45[[#This Row],[PMT NO]]&lt;&gt;"",ScheduledPayment,"")</f>
        <v>1294.2429434851008</v>
      </c>
      <c r="F12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2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22" s="32">
        <f>IF(PaymentSchedule45[[#This Row],[PMT NO]]&lt;&gt;"",PaymentSchedule45[[#This Row],[TOTAL PAYMENT]]-PaymentSchedule45[[#This Row],[INTEREST]],"")</f>
        <v>163.98455225092835</v>
      </c>
      <c r="I122" s="32">
        <f>IF(PaymentSchedule45[[#This Row],[PMT NO]]&lt;&gt;"",PaymentSchedule45[[#This Row],[BEGINNING BALANCE]]*(InterestRate/PaymentsPerYear),"")</f>
        <v>1130.2583912341724</v>
      </c>
      <c r="J12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138235.00212948443</v>
      </c>
      <c r="K122" s="32">
        <f>IF(PaymentSchedule45[[#This Row],[PMT NO]]&lt;&gt;"",SUM(INDEX(PaymentSchedule45[INTEREST],1,1):PaymentSchedule45[[#This Row],[INTEREST]]),"")</f>
        <v>126718.99708239018</v>
      </c>
    </row>
    <row r="123" spans="2:11" x14ac:dyDescent="0.3">
      <c r="B123" s="30">
        <f>IF(LoanIsGood,IF(ROW()-ROW(PaymentSchedule45[[#Headers],[PMT NO]])&gt;ScheduledNumberOfPayments,"",ROW()-ROW(PaymentSchedule45[[#Headers],[PMT NO]])),"")</f>
        <v>108</v>
      </c>
      <c r="C123" s="31">
        <f>IF(PaymentSchedule45[[#This Row],[PMT NO]]&lt;&gt;"",EOMONTH(LoanStartDate,ROW(PaymentSchedule45[[#This Row],[PMT NO]])-ROW(PaymentSchedule45[[#Headers],[PMT NO]])-2)+DAY(LoanStartDate),"")</f>
        <v>46631</v>
      </c>
      <c r="D123" s="32">
        <f>IF(PaymentSchedule45[[#This Row],[PMT NO]]&lt;&gt;"",IF(ROW()-ROW(PaymentSchedule45[[#Headers],[BEGINNING BALANCE]])=1,LoanAmount,INDEX(PaymentSchedule45[ENDING BALANCE],ROW()-ROW(PaymentSchedule45[[#Headers],[BEGINNING BALANCE]])-1)),"")</f>
        <v>138235.00212948443</v>
      </c>
      <c r="E123" s="32">
        <f>IF(PaymentSchedule45[[#This Row],[PMT NO]]&lt;&gt;"",ScheduledPayment,"")</f>
        <v>1294.2429434851008</v>
      </c>
      <c r="F12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2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23" s="32">
        <f>IF(PaymentSchedule45[[#This Row],[PMT NO]]&lt;&gt;"",PaymentSchedule45[[#This Row],[TOTAL PAYMENT]]-PaymentSchedule45[[#This Row],[INTEREST]],"")</f>
        <v>165.32375942764452</v>
      </c>
      <c r="I123" s="32">
        <f>IF(PaymentSchedule45[[#This Row],[PMT NO]]&lt;&gt;"",PaymentSchedule45[[#This Row],[BEGINNING BALANCE]]*(InterestRate/PaymentsPerYear),"")</f>
        <v>1128.9191840574563</v>
      </c>
      <c r="J12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138069.67837005679</v>
      </c>
      <c r="K123" s="32">
        <f>IF(PaymentSchedule45[[#This Row],[PMT NO]]&lt;&gt;"",SUM(INDEX(PaymentSchedule45[INTEREST],1,1):PaymentSchedule45[[#This Row],[INTEREST]]),"")</f>
        <v>127847.91626644763</v>
      </c>
    </row>
    <row r="124" spans="2:11" x14ac:dyDescent="0.3">
      <c r="B124" s="30">
        <f>IF(LoanIsGood,IF(ROW()-ROW(PaymentSchedule45[[#Headers],[PMT NO]])&gt;ScheduledNumberOfPayments,"",ROW()-ROW(PaymentSchedule45[[#Headers],[PMT NO]])),"")</f>
        <v>109</v>
      </c>
      <c r="C124" s="31">
        <f>IF(PaymentSchedule45[[#This Row],[PMT NO]]&lt;&gt;"",EOMONTH(LoanStartDate,ROW(PaymentSchedule45[[#This Row],[PMT NO]])-ROW(PaymentSchedule45[[#Headers],[PMT NO]])-2)+DAY(LoanStartDate),"")</f>
        <v>46661</v>
      </c>
      <c r="D124" s="32">
        <f>IF(PaymentSchedule45[[#This Row],[PMT NO]]&lt;&gt;"",IF(ROW()-ROW(PaymentSchedule45[[#Headers],[BEGINNING BALANCE]])=1,LoanAmount,INDEX(PaymentSchedule45[ENDING BALANCE],ROW()-ROW(PaymentSchedule45[[#Headers],[BEGINNING BALANCE]])-1)),"")</f>
        <v>138069.67837005679</v>
      </c>
      <c r="E124" s="32">
        <f>IF(PaymentSchedule45[[#This Row],[PMT NO]]&lt;&gt;"",ScheduledPayment,"")</f>
        <v>1294.2429434851008</v>
      </c>
      <c r="F12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2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24" s="32">
        <f>IF(PaymentSchedule45[[#This Row],[PMT NO]]&lt;&gt;"",PaymentSchedule45[[#This Row],[TOTAL PAYMENT]]-PaymentSchedule45[[#This Row],[INTEREST]],"")</f>
        <v>166.6739034629702</v>
      </c>
      <c r="I124" s="32">
        <f>IF(PaymentSchedule45[[#This Row],[PMT NO]]&lt;&gt;"",PaymentSchedule45[[#This Row],[BEGINNING BALANCE]]*(InterestRate/PaymentsPerYear),"")</f>
        <v>1127.5690400221306</v>
      </c>
      <c r="J12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137903.00446659382</v>
      </c>
      <c r="K124" s="32">
        <f>IF(PaymentSchedule45[[#This Row],[PMT NO]]&lt;&gt;"",SUM(INDEX(PaymentSchedule45[INTEREST],1,1):PaymentSchedule45[[#This Row],[INTEREST]]),"")</f>
        <v>128975.48530646977</v>
      </c>
    </row>
    <row r="125" spans="2:11" x14ac:dyDescent="0.3">
      <c r="B125" s="30">
        <f>IF(LoanIsGood,IF(ROW()-ROW(PaymentSchedule45[[#Headers],[PMT NO]])&gt;ScheduledNumberOfPayments,"",ROW()-ROW(PaymentSchedule45[[#Headers],[PMT NO]])),"")</f>
        <v>110</v>
      </c>
      <c r="C125" s="31">
        <f>IF(PaymentSchedule45[[#This Row],[PMT NO]]&lt;&gt;"",EOMONTH(LoanStartDate,ROW(PaymentSchedule45[[#This Row],[PMT NO]])-ROW(PaymentSchedule45[[#Headers],[PMT NO]])-2)+DAY(LoanStartDate),"")</f>
        <v>46692</v>
      </c>
      <c r="D125" s="32">
        <f>IF(PaymentSchedule45[[#This Row],[PMT NO]]&lt;&gt;"",IF(ROW()-ROW(PaymentSchedule45[[#Headers],[BEGINNING BALANCE]])=1,LoanAmount,INDEX(PaymentSchedule45[ENDING BALANCE],ROW()-ROW(PaymentSchedule45[[#Headers],[BEGINNING BALANCE]])-1)),"")</f>
        <v>137903.00446659382</v>
      </c>
      <c r="E125" s="32">
        <f>IF(PaymentSchedule45[[#This Row],[PMT NO]]&lt;&gt;"",ScheduledPayment,"")</f>
        <v>1294.2429434851008</v>
      </c>
      <c r="F12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2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25" s="32">
        <f>IF(PaymentSchedule45[[#This Row],[PMT NO]]&lt;&gt;"",PaymentSchedule45[[#This Row],[TOTAL PAYMENT]]-PaymentSchedule45[[#This Row],[INTEREST]],"")</f>
        <v>168.03507367458451</v>
      </c>
      <c r="I125" s="32">
        <f>IF(PaymentSchedule45[[#This Row],[PMT NO]]&lt;&gt;"",PaymentSchedule45[[#This Row],[BEGINNING BALANCE]]*(InterestRate/PaymentsPerYear),"")</f>
        <v>1126.2078698105163</v>
      </c>
      <c r="J12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137734.96939291924</v>
      </c>
      <c r="K125" s="32">
        <f>IF(PaymentSchedule45[[#This Row],[PMT NO]]&lt;&gt;"",SUM(INDEX(PaymentSchedule45[INTEREST],1,1):PaymentSchedule45[[#This Row],[INTEREST]]),"")</f>
        <v>130101.69317628029</v>
      </c>
    </row>
    <row r="126" spans="2:11" x14ac:dyDescent="0.3">
      <c r="B126" s="30">
        <f>IF(LoanIsGood,IF(ROW()-ROW(PaymentSchedule45[[#Headers],[PMT NO]])&gt;ScheduledNumberOfPayments,"",ROW()-ROW(PaymentSchedule45[[#Headers],[PMT NO]])),"")</f>
        <v>111</v>
      </c>
      <c r="C126" s="31">
        <f>IF(PaymentSchedule45[[#This Row],[PMT NO]]&lt;&gt;"",EOMONTH(LoanStartDate,ROW(PaymentSchedule45[[#This Row],[PMT NO]])-ROW(PaymentSchedule45[[#Headers],[PMT NO]])-2)+DAY(LoanStartDate),"")</f>
        <v>46722</v>
      </c>
      <c r="D126" s="32">
        <f>IF(PaymentSchedule45[[#This Row],[PMT NO]]&lt;&gt;"",IF(ROW()-ROW(PaymentSchedule45[[#Headers],[BEGINNING BALANCE]])=1,LoanAmount,INDEX(PaymentSchedule45[ENDING BALANCE],ROW()-ROW(PaymentSchedule45[[#Headers],[BEGINNING BALANCE]])-1)),"")</f>
        <v>137734.96939291924</v>
      </c>
      <c r="E126" s="32">
        <f>IF(PaymentSchedule45[[#This Row],[PMT NO]]&lt;&gt;"",ScheduledPayment,"")</f>
        <v>1294.2429434851008</v>
      </c>
      <c r="F12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2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26" s="32">
        <f>IF(PaymentSchedule45[[#This Row],[PMT NO]]&lt;&gt;"",PaymentSchedule45[[#This Row],[TOTAL PAYMENT]]-PaymentSchedule45[[#This Row],[INTEREST]],"")</f>
        <v>169.40736010959358</v>
      </c>
      <c r="I126" s="32">
        <f>IF(PaymentSchedule45[[#This Row],[PMT NO]]&lt;&gt;"",PaymentSchedule45[[#This Row],[BEGINNING BALANCE]]*(InterestRate/PaymentsPerYear),"")</f>
        <v>1124.8355833755072</v>
      </c>
      <c r="J12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137565.56203280966</v>
      </c>
      <c r="K126" s="32">
        <f>IF(PaymentSchedule45[[#This Row],[PMT NO]]&lt;&gt;"",SUM(INDEX(PaymentSchedule45[INTEREST],1,1):PaymentSchedule45[[#This Row],[INTEREST]]),"")</f>
        <v>131226.5287596558</v>
      </c>
    </row>
    <row r="127" spans="2:11" x14ac:dyDescent="0.3">
      <c r="B127" s="30">
        <f>IF(LoanIsGood,IF(ROW()-ROW(PaymentSchedule45[[#Headers],[PMT NO]])&gt;ScheduledNumberOfPayments,"",ROW()-ROW(PaymentSchedule45[[#Headers],[PMT NO]])),"")</f>
        <v>112</v>
      </c>
      <c r="C127" s="31">
        <f>IF(PaymentSchedule45[[#This Row],[PMT NO]]&lt;&gt;"",EOMONTH(LoanStartDate,ROW(PaymentSchedule45[[#This Row],[PMT NO]])-ROW(PaymentSchedule45[[#Headers],[PMT NO]])-2)+DAY(LoanStartDate),"")</f>
        <v>46753</v>
      </c>
      <c r="D127" s="32">
        <f>IF(PaymentSchedule45[[#This Row],[PMT NO]]&lt;&gt;"",IF(ROW()-ROW(PaymentSchedule45[[#Headers],[BEGINNING BALANCE]])=1,LoanAmount,INDEX(PaymentSchedule45[ENDING BALANCE],ROW()-ROW(PaymentSchedule45[[#Headers],[BEGINNING BALANCE]])-1)),"")</f>
        <v>137565.56203280966</v>
      </c>
      <c r="E127" s="32">
        <f>IF(PaymentSchedule45[[#This Row],[PMT NO]]&lt;&gt;"",ScheduledPayment,"")</f>
        <v>1294.2429434851008</v>
      </c>
      <c r="F12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2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27" s="32">
        <f>IF(PaymentSchedule45[[#This Row],[PMT NO]]&lt;&gt;"",PaymentSchedule45[[#This Row],[TOTAL PAYMENT]]-PaymentSchedule45[[#This Row],[INTEREST]],"")</f>
        <v>170.79085355048846</v>
      </c>
      <c r="I127" s="32">
        <f>IF(PaymentSchedule45[[#This Row],[PMT NO]]&lt;&gt;"",PaymentSchedule45[[#This Row],[BEGINNING BALANCE]]*(InterestRate/PaymentsPerYear),"")</f>
        <v>1123.4520899346123</v>
      </c>
      <c r="J12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137394.77117925917</v>
      </c>
      <c r="K127" s="32">
        <f>IF(PaymentSchedule45[[#This Row],[PMT NO]]&lt;&gt;"",SUM(INDEX(PaymentSchedule45[INTEREST],1,1):PaymentSchedule45[[#This Row],[INTEREST]]),"")</f>
        <v>132349.98084959041</v>
      </c>
    </row>
    <row r="128" spans="2:11" x14ac:dyDescent="0.3">
      <c r="B128" s="30">
        <f>IF(LoanIsGood,IF(ROW()-ROW(PaymentSchedule45[[#Headers],[PMT NO]])&gt;ScheduledNumberOfPayments,"",ROW()-ROW(PaymentSchedule45[[#Headers],[PMT NO]])),"")</f>
        <v>113</v>
      </c>
      <c r="C128" s="31">
        <f>IF(PaymentSchedule45[[#This Row],[PMT NO]]&lt;&gt;"",EOMONTH(LoanStartDate,ROW(PaymentSchedule45[[#This Row],[PMT NO]])-ROW(PaymentSchedule45[[#Headers],[PMT NO]])-2)+DAY(LoanStartDate),"")</f>
        <v>46784</v>
      </c>
      <c r="D128" s="32">
        <f>IF(PaymentSchedule45[[#This Row],[PMT NO]]&lt;&gt;"",IF(ROW()-ROW(PaymentSchedule45[[#Headers],[BEGINNING BALANCE]])=1,LoanAmount,INDEX(PaymentSchedule45[ENDING BALANCE],ROW()-ROW(PaymentSchedule45[[#Headers],[BEGINNING BALANCE]])-1)),"")</f>
        <v>137394.77117925917</v>
      </c>
      <c r="E128" s="32">
        <f>IF(PaymentSchedule45[[#This Row],[PMT NO]]&lt;&gt;"",ScheduledPayment,"")</f>
        <v>1294.2429434851008</v>
      </c>
      <c r="F12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2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28" s="32">
        <f>IF(PaymentSchedule45[[#This Row],[PMT NO]]&lt;&gt;"",PaymentSchedule45[[#This Row],[TOTAL PAYMENT]]-PaymentSchedule45[[#This Row],[INTEREST]],"")</f>
        <v>172.18564552115072</v>
      </c>
      <c r="I128" s="32">
        <f>IF(PaymentSchedule45[[#This Row],[PMT NO]]&lt;&gt;"",PaymentSchedule45[[#This Row],[BEGINNING BALANCE]]*(InterestRate/PaymentsPerYear),"")</f>
        <v>1122.0572979639501</v>
      </c>
      <c r="J12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137222.58553373802</v>
      </c>
      <c r="K128" s="32">
        <f>IF(PaymentSchedule45[[#This Row],[PMT NO]]&lt;&gt;"",SUM(INDEX(PaymentSchedule45[INTEREST],1,1):PaymentSchedule45[[#This Row],[INTEREST]]),"")</f>
        <v>133472.03814755435</v>
      </c>
    </row>
    <row r="129" spans="2:11" x14ac:dyDescent="0.3">
      <c r="B129" s="30">
        <f>IF(LoanIsGood,IF(ROW()-ROW(PaymentSchedule45[[#Headers],[PMT NO]])&gt;ScheduledNumberOfPayments,"",ROW()-ROW(PaymentSchedule45[[#Headers],[PMT NO]])),"")</f>
        <v>114</v>
      </c>
      <c r="C129" s="31">
        <f>IF(PaymentSchedule45[[#This Row],[PMT NO]]&lt;&gt;"",EOMONTH(LoanStartDate,ROW(PaymentSchedule45[[#This Row],[PMT NO]])-ROW(PaymentSchedule45[[#Headers],[PMT NO]])-2)+DAY(LoanStartDate),"")</f>
        <v>46813</v>
      </c>
      <c r="D129" s="32">
        <f>IF(PaymentSchedule45[[#This Row],[PMT NO]]&lt;&gt;"",IF(ROW()-ROW(PaymentSchedule45[[#Headers],[BEGINNING BALANCE]])=1,LoanAmount,INDEX(PaymentSchedule45[ENDING BALANCE],ROW()-ROW(PaymentSchedule45[[#Headers],[BEGINNING BALANCE]])-1)),"")</f>
        <v>137222.58553373802</v>
      </c>
      <c r="E129" s="32">
        <f>IF(PaymentSchedule45[[#This Row],[PMT NO]]&lt;&gt;"",ScheduledPayment,"")</f>
        <v>1294.2429434851008</v>
      </c>
      <c r="F12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2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29" s="32">
        <f>IF(PaymentSchedule45[[#This Row],[PMT NO]]&lt;&gt;"",PaymentSchedule45[[#This Row],[TOTAL PAYMENT]]-PaymentSchedule45[[#This Row],[INTEREST]],"")</f>
        <v>173.59182829290694</v>
      </c>
      <c r="I129" s="32">
        <f>IF(PaymentSchedule45[[#This Row],[PMT NO]]&lt;&gt;"",PaymentSchedule45[[#This Row],[BEGINNING BALANCE]]*(InterestRate/PaymentsPerYear),"")</f>
        <v>1120.6511151921939</v>
      </c>
      <c r="J12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137048.99370544511</v>
      </c>
      <c r="K129" s="32">
        <f>IF(PaymentSchedule45[[#This Row],[PMT NO]]&lt;&gt;"",SUM(INDEX(PaymentSchedule45[INTEREST],1,1):PaymentSchedule45[[#This Row],[INTEREST]]),"")</f>
        <v>134592.68926274654</v>
      </c>
    </row>
    <row r="130" spans="2:11" x14ac:dyDescent="0.3">
      <c r="B130" s="30">
        <f>IF(LoanIsGood,IF(ROW()-ROW(PaymentSchedule45[[#Headers],[PMT NO]])&gt;ScheduledNumberOfPayments,"",ROW()-ROW(PaymentSchedule45[[#Headers],[PMT NO]])),"")</f>
        <v>115</v>
      </c>
      <c r="C130" s="31">
        <f>IF(PaymentSchedule45[[#This Row],[PMT NO]]&lt;&gt;"",EOMONTH(LoanStartDate,ROW(PaymentSchedule45[[#This Row],[PMT NO]])-ROW(PaymentSchedule45[[#Headers],[PMT NO]])-2)+DAY(LoanStartDate),"")</f>
        <v>46844</v>
      </c>
      <c r="D130" s="32">
        <f>IF(PaymentSchedule45[[#This Row],[PMT NO]]&lt;&gt;"",IF(ROW()-ROW(PaymentSchedule45[[#Headers],[BEGINNING BALANCE]])=1,LoanAmount,INDEX(PaymentSchedule45[ENDING BALANCE],ROW()-ROW(PaymentSchedule45[[#Headers],[BEGINNING BALANCE]])-1)),"")</f>
        <v>137048.99370544511</v>
      </c>
      <c r="E130" s="32">
        <f>IF(PaymentSchedule45[[#This Row],[PMT NO]]&lt;&gt;"",ScheduledPayment,"")</f>
        <v>1294.2429434851008</v>
      </c>
      <c r="F13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3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30" s="32">
        <f>IF(PaymentSchedule45[[#This Row],[PMT NO]]&lt;&gt;"",PaymentSchedule45[[#This Row],[TOTAL PAYMENT]]-PaymentSchedule45[[#This Row],[INTEREST]],"")</f>
        <v>175.00949489063214</v>
      </c>
      <c r="I130" s="32">
        <f>IF(PaymentSchedule45[[#This Row],[PMT NO]]&lt;&gt;"",PaymentSchedule45[[#This Row],[BEGINNING BALANCE]]*(InterestRate/PaymentsPerYear),"")</f>
        <v>1119.2334485944687</v>
      </c>
      <c r="J13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136873.98421055448</v>
      </c>
      <c r="K130" s="32">
        <f>IF(PaymentSchedule45[[#This Row],[PMT NO]]&lt;&gt;"",SUM(INDEX(PaymentSchedule45[INTEREST],1,1):PaymentSchedule45[[#This Row],[INTEREST]]),"")</f>
        <v>135711.922711341</v>
      </c>
    </row>
    <row r="131" spans="2:11" x14ac:dyDescent="0.3">
      <c r="B131" s="30">
        <f>IF(LoanIsGood,IF(ROW()-ROW(PaymentSchedule45[[#Headers],[PMT NO]])&gt;ScheduledNumberOfPayments,"",ROW()-ROW(PaymentSchedule45[[#Headers],[PMT NO]])),"")</f>
        <v>116</v>
      </c>
      <c r="C131" s="31">
        <f>IF(PaymentSchedule45[[#This Row],[PMT NO]]&lt;&gt;"",EOMONTH(LoanStartDate,ROW(PaymentSchedule45[[#This Row],[PMT NO]])-ROW(PaymentSchedule45[[#Headers],[PMT NO]])-2)+DAY(LoanStartDate),"")</f>
        <v>46874</v>
      </c>
      <c r="D131" s="32">
        <f>IF(PaymentSchedule45[[#This Row],[PMT NO]]&lt;&gt;"",IF(ROW()-ROW(PaymentSchedule45[[#Headers],[BEGINNING BALANCE]])=1,LoanAmount,INDEX(PaymentSchedule45[ENDING BALANCE],ROW()-ROW(PaymentSchedule45[[#Headers],[BEGINNING BALANCE]])-1)),"")</f>
        <v>136873.98421055448</v>
      </c>
      <c r="E131" s="32">
        <f>IF(PaymentSchedule45[[#This Row],[PMT NO]]&lt;&gt;"",ScheduledPayment,"")</f>
        <v>1294.2429434851008</v>
      </c>
      <c r="F13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3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31" s="32">
        <f>IF(PaymentSchedule45[[#This Row],[PMT NO]]&lt;&gt;"",PaymentSchedule45[[#This Row],[TOTAL PAYMENT]]-PaymentSchedule45[[#This Row],[INTEREST]],"")</f>
        <v>176.43873909890567</v>
      </c>
      <c r="I131" s="32">
        <f>IF(PaymentSchedule45[[#This Row],[PMT NO]]&lt;&gt;"",PaymentSchedule45[[#This Row],[BEGINNING BALANCE]]*(InterestRate/PaymentsPerYear),"")</f>
        <v>1117.8042043861951</v>
      </c>
      <c r="J13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136697.54547145558</v>
      </c>
      <c r="K131" s="32">
        <f>IF(PaymentSchedule45[[#This Row],[PMT NO]]&lt;&gt;"",SUM(INDEX(PaymentSchedule45[INTEREST],1,1):PaymentSchedule45[[#This Row],[INTEREST]]),"")</f>
        <v>136829.72691572719</v>
      </c>
    </row>
    <row r="132" spans="2:11" x14ac:dyDescent="0.3">
      <c r="B132" s="30">
        <f>IF(LoanIsGood,IF(ROW()-ROW(PaymentSchedule45[[#Headers],[PMT NO]])&gt;ScheduledNumberOfPayments,"",ROW()-ROW(PaymentSchedule45[[#Headers],[PMT NO]])),"")</f>
        <v>117</v>
      </c>
      <c r="C132" s="31">
        <f>IF(PaymentSchedule45[[#This Row],[PMT NO]]&lt;&gt;"",EOMONTH(LoanStartDate,ROW(PaymentSchedule45[[#This Row],[PMT NO]])-ROW(PaymentSchedule45[[#Headers],[PMT NO]])-2)+DAY(LoanStartDate),"")</f>
        <v>46905</v>
      </c>
      <c r="D132" s="32">
        <f>IF(PaymentSchedule45[[#This Row],[PMT NO]]&lt;&gt;"",IF(ROW()-ROW(PaymentSchedule45[[#Headers],[BEGINNING BALANCE]])=1,LoanAmount,INDEX(PaymentSchedule45[ENDING BALANCE],ROW()-ROW(PaymentSchedule45[[#Headers],[BEGINNING BALANCE]])-1)),"")</f>
        <v>136697.54547145558</v>
      </c>
      <c r="E132" s="32">
        <f>IF(PaymentSchedule45[[#This Row],[PMT NO]]&lt;&gt;"",ScheduledPayment,"")</f>
        <v>1294.2429434851008</v>
      </c>
      <c r="F13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3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32" s="32">
        <f>IF(PaymentSchedule45[[#This Row],[PMT NO]]&lt;&gt;"",PaymentSchedule45[[#This Row],[TOTAL PAYMENT]]-PaymentSchedule45[[#This Row],[INTEREST]],"")</f>
        <v>177.87965546821351</v>
      </c>
      <c r="I132" s="32">
        <f>IF(PaymentSchedule45[[#This Row],[PMT NO]]&lt;&gt;"",PaymentSchedule45[[#This Row],[BEGINNING BALANCE]]*(InterestRate/PaymentsPerYear),"")</f>
        <v>1116.3632880168873</v>
      </c>
      <c r="J13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136519.66581598736</v>
      </c>
      <c r="K132" s="32">
        <f>IF(PaymentSchedule45[[#This Row],[PMT NO]]&lt;&gt;"",SUM(INDEX(PaymentSchedule45[INTEREST],1,1):PaymentSchedule45[[#This Row],[INTEREST]]),"")</f>
        <v>137946.09020374407</v>
      </c>
    </row>
    <row r="133" spans="2:11" x14ac:dyDescent="0.3">
      <c r="B133" s="30">
        <f>IF(LoanIsGood,IF(ROW()-ROW(PaymentSchedule45[[#Headers],[PMT NO]])&gt;ScheduledNumberOfPayments,"",ROW()-ROW(PaymentSchedule45[[#Headers],[PMT NO]])),"")</f>
        <v>118</v>
      </c>
      <c r="C133" s="31">
        <f>IF(PaymentSchedule45[[#This Row],[PMT NO]]&lt;&gt;"",EOMONTH(LoanStartDate,ROW(PaymentSchedule45[[#This Row],[PMT NO]])-ROW(PaymentSchedule45[[#Headers],[PMT NO]])-2)+DAY(LoanStartDate),"")</f>
        <v>46935</v>
      </c>
      <c r="D133" s="32">
        <f>IF(PaymentSchedule45[[#This Row],[PMT NO]]&lt;&gt;"",IF(ROW()-ROW(PaymentSchedule45[[#Headers],[BEGINNING BALANCE]])=1,LoanAmount,INDEX(PaymentSchedule45[ENDING BALANCE],ROW()-ROW(PaymentSchedule45[[#Headers],[BEGINNING BALANCE]])-1)),"")</f>
        <v>136519.66581598736</v>
      </c>
      <c r="E133" s="32">
        <f>IF(PaymentSchedule45[[#This Row],[PMT NO]]&lt;&gt;"",ScheduledPayment,"")</f>
        <v>1294.2429434851008</v>
      </c>
      <c r="F13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3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33" s="32">
        <f>IF(PaymentSchedule45[[#This Row],[PMT NO]]&lt;&gt;"",PaymentSchedule45[[#This Row],[TOTAL PAYMENT]]-PaymentSchedule45[[#This Row],[INTEREST]],"")</f>
        <v>179.33233932120379</v>
      </c>
      <c r="I133" s="32">
        <f>IF(PaymentSchedule45[[#This Row],[PMT NO]]&lt;&gt;"",PaymentSchedule45[[#This Row],[BEGINNING BALANCE]]*(InterestRate/PaymentsPerYear),"")</f>
        <v>1114.910604163897</v>
      </c>
      <c r="J13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136340.33347666616</v>
      </c>
      <c r="K133" s="32">
        <f>IF(PaymentSchedule45[[#This Row],[PMT NO]]&lt;&gt;"",SUM(INDEX(PaymentSchedule45[INTEREST],1,1):PaymentSchedule45[[#This Row],[INTEREST]]),"")</f>
        <v>139061.00080790796</v>
      </c>
    </row>
    <row r="134" spans="2:11" x14ac:dyDescent="0.3">
      <c r="B134" s="30">
        <f>IF(LoanIsGood,IF(ROW()-ROW(PaymentSchedule45[[#Headers],[PMT NO]])&gt;ScheduledNumberOfPayments,"",ROW()-ROW(PaymentSchedule45[[#Headers],[PMT NO]])),"")</f>
        <v>119</v>
      </c>
      <c r="C134" s="31">
        <f>IF(PaymentSchedule45[[#This Row],[PMT NO]]&lt;&gt;"",EOMONTH(LoanStartDate,ROW(PaymentSchedule45[[#This Row],[PMT NO]])-ROW(PaymentSchedule45[[#Headers],[PMT NO]])-2)+DAY(LoanStartDate),"")</f>
        <v>46966</v>
      </c>
      <c r="D134" s="32">
        <f>IF(PaymentSchedule45[[#This Row],[PMT NO]]&lt;&gt;"",IF(ROW()-ROW(PaymentSchedule45[[#Headers],[BEGINNING BALANCE]])=1,LoanAmount,INDEX(PaymentSchedule45[ENDING BALANCE],ROW()-ROW(PaymentSchedule45[[#Headers],[BEGINNING BALANCE]])-1)),"")</f>
        <v>136340.33347666616</v>
      </c>
      <c r="E134" s="32">
        <f>IF(PaymentSchedule45[[#This Row],[PMT NO]]&lt;&gt;"",ScheduledPayment,"")</f>
        <v>1294.2429434851008</v>
      </c>
      <c r="F13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3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34" s="32">
        <f>IF(PaymentSchedule45[[#This Row],[PMT NO]]&lt;&gt;"",PaymentSchedule45[[#This Row],[TOTAL PAYMENT]]-PaymentSchedule45[[#This Row],[INTEREST]],"")</f>
        <v>180.79688675899365</v>
      </c>
      <c r="I134" s="32">
        <f>IF(PaymentSchedule45[[#This Row],[PMT NO]]&lt;&gt;"",PaymentSchedule45[[#This Row],[BEGINNING BALANCE]]*(InterestRate/PaymentsPerYear),"")</f>
        <v>1113.4460567261071</v>
      </c>
      <c r="J13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136159.53658990716</v>
      </c>
      <c r="K134" s="32">
        <f>IF(PaymentSchedule45[[#This Row],[PMT NO]]&lt;&gt;"",SUM(INDEX(PaymentSchedule45[INTEREST],1,1):PaymentSchedule45[[#This Row],[INTEREST]]),"")</f>
        <v>140174.44686463405</v>
      </c>
    </row>
    <row r="135" spans="2:11" x14ac:dyDescent="0.3">
      <c r="B135" s="30">
        <f>IF(LoanIsGood,IF(ROW()-ROW(PaymentSchedule45[[#Headers],[PMT NO]])&gt;ScheduledNumberOfPayments,"",ROW()-ROW(PaymentSchedule45[[#Headers],[PMT NO]])),"")</f>
        <v>120</v>
      </c>
      <c r="C135" s="31">
        <f>IF(PaymentSchedule45[[#This Row],[PMT NO]]&lt;&gt;"",EOMONTH(LoanStartDate,ROW(PaymentSchedule45[[#This Row],[PMT NO]])-ROW(PaymentSchedule45[[#Headers],[PMT NO]])-2)+DAY(LoanStartDate),"")</f>
        <v>46997</v>
      </c>
      <c r="D135" s="32">
        <f>IF(PaymentSchedule45[[#This Row],[PMT NO]]&lt;&gt;"",IF(ROW()-ROW(PaymentSchedule45[[#Headers],[BEGINNING BALANCE]])=1,LoanAmount,INDEX(PaymentSchedule45[ENDING BALANCE],ROW()-ROW(PaymentSchedule45[[#Headers],[BEGINNING BALANCE]])-1)),"")</f>
        <v>136159.53658990716</v>
      </c>
      <c r="E135" s="32">
        <f>IF(PaymentSchedule45[[#This Row],[PMT NO]]&lt;&gt;"",ScheduledPayment,"")</f>
        <v>1294.2429434851008</v>
      </c>
      <c r="F13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3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35" s="32">
        <f>IF(PaymentSchedule45[[#This Row],[PMT NO]]&lt;&gt;"",PaymentSchedule45[[#This Row],[TOTAL PAYMENT]]-PaymentSchedule45[[#This Row],[INTEREST]],"")</f>
        <v>182.27339466752551</v>
      </c>
      <c r="I135" s="32">
        <f>IF(PaymentSchedule45[[#This Row],[PMT NO]]&lt;&gt;"",PaymentSchedule45[[#This Row],[BEGINNING BALANCE]]*(InterestRate/PaymentsPerYear),"")</f>
        <v>1111.9695488175753</v>
      </c>
      <c r="J13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135977.26319523965</v>
      </c>
      <c r="K135" s="32">
        <f>IF(PaymentSchedule45[[#This Row],[PMT NO]]&lt;&gt;"",SUM(INDEX(PaymentSchedule45[INTEREST],1,1):PaymentSchedule45[[#This Row],[INTEREST]]),"")</f>
        <v>141286.41641345163</v>
      </c>
    </row>
    <row r="136" spans="2:11" x14ac:dyDescent="0.3">
      <c r="B136" s="30">
        <f>IF(LoanIsGood,IF(ROW()-ROW(PaymentSchedule45[[#Headers],[PMT NO]])&gt;ScheduledNumberOfPayments,"",ROW()-ROW(PaymentSchedule45[[#Headers],[PMT NO]])),"")</f>
        <v>121</v>
      </c>
      <c r="C136" s="31">
        <f>IF(PaymentSchedule45[[#This Row],[PMT NO]]&lt;&gt;"",EOMONTH(LoanStartDate,ROW(PaymentSchedule45[[#This Row],[PMT NO]])-ROW(PaymentSchedule45[[#Headers],[PMT NO]])-2)+DAY(LoanStartDate),"")</f>
        <v>47027</v>
      </c>
      <c r="D136" s="32">
        <f>IF(PaymentSchedule45[[#This Row],[PMT NO]]&lt;&gt;"",IF(ROW()-ROW(PaymentSchedule45[[#Headers],[BEGINNING BALANCE]])=1,LoanAmount,INDEX(PaymentSchedule45[ENDING BALANCE],ROW()-ROW(PaymentSchedule45[[#Headers],[BEGINNING BALANCE]])-1)),"")</f>
        <v>135977.26319523965</v>
      </c>
      <c r="E136" s="32">
        <f>IF(PaymentSchedule45[[#This Row],[PMT NO]]&lt;&gt;"",ScheduledPayment,"")</f>
        <v>1294.2429434851008</v>
      </c>
      <c r="F13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3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36" s="32">
        <f>IF(PaymentSchedule45[[#This Row],[PMT NO]]&lt;&gt;"",PaymentSchedule45[[#This Row],[TOTAL PAYMENT]]-PaymentSchedule45[[#This Row],[INTEREST]],"")</f>
        <v>183.76196072397693</v>
      </c>
      <c r="I136" s="32">
        <f>IF(PaymentSchedule45[[#This Row],[PMT NO]]&lt;&gt;"",PaymentSchedule45[[#This Row],[BEGINNING BALANCE]]*(InterestRate/PaymentsPerYear),"")</f>
        <v>1110.4809827611239</v>
      </c>
      <c r="J13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135793.50123451566</v>
      </c>
      <c r="K136" s="32">
        <f>IF(PaymentSchedule45[[#This Row],[PMT NO]]&lt;&gt;"",SUM(INDEX(PaymentSchedule45[INTEREST],1,1):PaymentSchedule45[[#This Row],[INTEREST]]),"")</f>
        <v>142396.89739621276</v>
      </c>
    </row>
    <row r="137" spans="2:11" x14ac:dyDescent="0.3">
      <c r="B137" s="30">
        <f>IF(LoanIsGood,IF(ROW()-ROW(PaymentSchedule45[[#Headers],[PMT NO]])&gt;ScheduledNumberOfPayments,"",ROW()-ROW(PaymentSchedule45[[#Headers],[PMT NO]])),"")</f>
        <v>122</v>
      </c>
      <c r="C137" s="31">
        <f>IF(PaymentSchedule45[[#This Row],[PMT NO]]&lt;&gt;"",EOMONTH(LoanStartDate,ROW(PaymentSchedule45[[#This Row],[PMT NO]])-ROW(PaymentSchedule45[[#Headers],[PMT NO]])-2)+DAY(LoanStartDate),"")</f>
        <v>47058</v>
      </c>
      <c r="D137" s="32">
        <f>IF(PaymentSchedule45[[#This Row],[PMT NO]]&lt;&gt;"",IF(ROW()-ROW(PaymentSchedule45[[#Headers],[BEGINNING BALANCE]])=1,LoanAmount,INDEX(PaymentSchedule45[ENDING BALANCE],ROW()-ROW(PaymentSchedule45[[#Headers],[BEGINNING BALANCE]])-1)),"")</f>
        <v>135793.50123451566</v>
      </c>
      <c r="E137" s="32">
        <f>IF(PaymentSchedule45[[#This Row],[PMT NO]]&lt;&gt;"",ScheduledPayment,"")</f>
        <v>1294.2429434851008</v>
      </c>
      <c r="F13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3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37" s="32">
        <f>IF(PaymentSchedule45[[#This Row],[PMT NO]]&lt;&gt;"",PaymentSchedule45[[#This Row],[TOTAL PAYMENT]]-PaymentSchedule45[[#This Row],[INTEREST]],"")</f>
        <v>185.26268340322281</v>
      </c>
      <c r="I137" s="32">
        <f>IF(PaymentSchedule45[[#This Row],[PMT NO]]&lt;&gt;"",PaymentSchedule45[[#This Row],[BEGINNING BALANCE]]*(InterestRate/PaymentsPerYear),"")</f>
        <v>1108.980260081878</v>
      </c>
      <c r="J13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135608.23855111244</v>
      </c>
      <c r="K137" s="32">
        <f>IF(PaymentSchedule45[[#This Row],[PMT NO]]&lt;&gt;"",SUM(INDEX(PaymentSchedule45[INTEREST],1,1):PaymentSchedule45[[#This Row],[INTEREST]]),"")</f>
        <v>143505.87765629464</v>
      </c>
    </row>
    <row r="138" spans="2:11" x14ac:dyDescent="0.3">
      <c r="B138" s="30">
        <f>IF(LoanIsGood,IF(ROW()-ROW(PaymentSchedule45[[#Headers],[PMT NO]])&gt;ScheduledNumberOfPayments,"",ROW()-ROW(PaymentSchedule45[[#Headers],[PMT NO]])),"")</f>
        <v>123</v>
      </c>
      <c r="C138" s="31">
        <f>IF(PaymentSchedule45[[#This Row],[PMT NO]]&lt;&gt;"",EOMONTH(LoanStartDate,ROW(PaymentSchedule45[[#This Row],[PMT NO]])-ROW(PaymentSchedule45[[#Headers],[PMT NO]])-2)+DAY(LoanStartDate),"")</f>
        <v>47088</v>
      </c>
      <c r="D138" s="32">
        <f>IF(PaymentSchedule45[[#This Row],[PMT NO]]&lt;&gt;"",IF(ROW()-ROW(PaymentSchedule45[[#Headers],[BEGINNING BALANCE]])=1,LoanAmount,INDEX(PaymentSchedule45[ENDING BALANCE],ROW()-ROW(PaymentSchedule45[[#Headers],[BEGINNING BALANCE]])-1)),"")</f>
        <v>135608.23855111244</v>
      </c>
      <c r="E138" s="32">
        <f>IF(PaymentSchedule45[[#This Row],[PMT NO]]&lt;&gt;"",ScheduledPayment,"")</f>
        <v>1294.2429434851008</v>
      </c>
      <c r="F13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3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38" s="32">
        <f>IF(PaymentSchedule45[[#This Row],[PMT NO]]&lt;&gt;"",PaymentSchedule45[[#This Row],[TOTAL PAYMENT]]-PaymentSchedule45[[#This Row],[INTEREST]],"")</f>
        <v>186.77566198434897</v>
      </c>
      <c r="I138" s="32">
        <f>IF(PaymentSchedule45[[#This Row],[PMT NO]]&lt;&gt;"",PaymentSchedule45[[#This Row],[BEGINNING BALANCE]]*(InterestRate/PaymentsPerYear),"")</f>
        <v>1107.4672815007518</v>
      </c>
      <c r="J13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135421.4628891281</v>
      </c>
      <c r="K138" s="32">
        <f>IF(PaymentSchedule45[[#This Row],[PMT NO]]&lt;&gt;"",SUM(INDEX(PaymentSchedule45[INTEREST],1,1):PaymentSchedule45[[#This Row],[INTEREST]]),"")</f>
        <v>144613.34493779539</v>
      </c>
    </row>
    <row r="139" spans="2:11" x14ac:dyDescent="0.3">
      <c r="B139" s="30">
        <f>IF(LoanIsGood,IF(ROW()-ROW(PaymentSchedule45[[#Headers],[PMT NO]])&gt;ScheduledNumberOfPayments,"",ROW()-ROW(PaymentSchedule45[[#Headers],[PMT NO]])),"")</f>
        <v>124</v>
      </c>
      <c r="C139" s="31">
        <f>IF(PaymentSchedule45[[#This Row],[PMT NO]]&lt;&gt;"",EOMONTH(LoanStartDate,ROW(PaymentSchedule45[[#This Row],[PMT NO]])-ROW(PaymentSchedule45[[#Headers],[PMT NO]])-2)+DAY(LoanStartDate),"")</f>
        <v>47119</v>
      </c>
      <c r="D139" s="32">
        <f>IF(PaymentSchedule45[[#This Row],[PMT NO]]&lt;&gt;"",IF(ROW()-ROW(PaymentSchedule45[[#Headers],[BEGINNING BALANCE]])=1,LoanAmount,INDEX(PaymentSchedule45[ENDING BALANCE],ROW()-ROW(PaymentSchedule45[[#Headers],[BEGINNING BALANCE]])-1)),"")</f>
        <v>135421.4628891281</v>
      </c>
      <c r="E139" s="32">
        <f>IF(PaymentSchedule45[[#This Row],[PMT NO]]&lt;&gt;"",ScheduledPayment,"")</f>
        <v>1294.2429434851008</v>
      </c>
      <c r="F13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3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39" s="32">
        <f>IF(PaymentSchedule45[[#This Row],[PMT NO]]&lt;&gt;"",PaymentSchedule45[[#This Row],[TOTAL PAYMENT]]-PaymentSchedule45[[#This Row],[INTEREST]],"")</f>
        <v>188.3009965572212</v>
      </c>
      <c r="I139" s="32">
        <f>IF(PaymentSchedule45[[#This Row],[PMT NO]]&lt;&gt;"",PaymentSchedule45[[#This Row],[BEGINNING BALANCE]]*(InterestRate/PaymentsPerYear),"")</f>
        <v>1105.9419469278796</v>
      </c>
      <c r="J13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135233.16189257088</v>
      </c>
      <c r="K139" s="32">
        <f>IF(PaymentSchedule45[[#This Row],[PMT NO]]&lt;&gt;"",SUM(INDEX(PaymentSchedule45[INTEREST],1,1):PaymentSchedule45[[#This Row],[INTEREST]]),"")</f>
        <v>145719.28688472326</v>
      </c>
    </row>
    <row r="140" spans="2:11" x14ac:dyDescent="0.3">
      <c r="B140" s="30">
        <f>IF(LoanIsGood,IF(ROW()-ROW(PaymentSchedule45[[#Headers],[PMT NO]])&gt;ScheduledNumberOfPayments,"",ROW()-ROW(PaymentSchedule45[[#Headers],[PMT NO]])),"")</f>
        <v>125</v>
      </c>
      <c r="C140" s="31">
        <f>IF(PaymentSchedule45[[#This Row],[PMT NO]]&lt;&gt;"",EOMONTH(LoanStartDate,ROW(PaymentSchedule45[[#This Row],[PMT NO]])-ROW(PaymentSchedule45[[#Headers],[PMT NO]])-2)+DAY(LoanStartDate),"")</f>
        <v>47150</v>
      </c>
      <c r="D140" s="32">
        <f>IF(PaymentSchedule45[[#This Row],[PMT NO]]&lt;&gt;"",IF(ROW()-ROW(PaymentSchedule45[[#Headers],[BEGINNING BALANCE]])=1,LoanAmount,INDEX(PaymentSchedule45[ENDING BALANCE],ROW()-ROW(PaymentSchedule45[[#Headers],[BEGINNING BALANCE]])-1)),"")</f>
        <v>135233.16189257088</v>
      </c>
      <c r="E140" s="32">
        <f>IF(PaymentSchedule45[[#This Row],[PMT NO]]&lt;&gt;"",ScheduledPayment,"")</f>
        <v>1294.2429434851008</v>
      </c>
      <c r="F14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4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40" s="32">
        <f>IF(PaymentSchedule45[[#This Row],[PMT NO]]&lt;&gt;"",PaymentSchedule45[[#This Row],[TOTAL PAYMENT]]-PaymentSchedule45[[#This Row],[INTEREST]],"")</f>
        <v>189.83878802910522</v>
      </c>
      <c r="I140" s="32">
        <f>IF(PaymentSchedule45[[#This Row],[PMT NO]]&lt;&gt;"",PaymentSchedule45[[#This Row],[BEGINNING BALANCE]]*(InterestRate/PaymentsPerYear),"")</f>
        <v>1104.4041554559956</v>
      </c>
      <c r="J14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135043.32310454178</v>
      </c>
      <c r="K140" s="32">
        <f>IF(PaymentSchedule45[[#This Row],[PMT NO]]&lt;&gt;"",SUM(INDEX(PaymentSchedule45[INTEREST],1,1):PaymentSchedule45[[#This Row],[INTEREST]]),"")</f>
        <v>146823.69104017926</v>
      </c>
    </row>
    <row r="141" spans="2:11" x14ac:dyDescent="0.3">
      <c r="B141" s="30">
        <f>IF(LoanIsGood,IF(ROW()-ROW(PaymentSchedule45[[#Headers],[PMT NO]])&gt;ScheduledNumberOfPayments,"",ROW()-ROW(PaymentSchedule45[[#Headers],[PMT NO]])),"")</f>
        <v>126</v>
      </c>
      <c r="C141" s="31">
        <f>IF(PaymentSchedule45[[#This Row],[PMT NO]]&lt;&gt;"",EOMONTH(LoanStartDate,ROW(PaymentSchedule45[[#This Row],[PMT NO]])-ROW(PaymentSchedule45[[#Headers],[PMT NO]])-2)+DAY(LoanStartDate),"")</f>
        <v>47178</v>
      </c>
      <c r="D141" s="32">
        <f>IF(PaymentSchedule45[[#This Row],[PMT NO]]&lt;&gt;"",IF(ROW()-ROW(PaymentSchedule45[[#Headers],[BEGINNING BALANCE]])=1,LoanAmount,INDEX(PaymentSchedule45[ENDING BALANCE],ROW()-ROW(PaymentSchedule45[[#Headers],[BEGINNING BALANCE]])-1)),"")</f>
        <v>135043.32310454178</v>
      </c>
      <c r="E141" s="32">
        <f>IF(PaymentSchedule45[[#This Row],[PMT NO]]&lt;&gt;"",ScheduledPayment,"")</f>
        <v>1294.2429434851008</v>
      </c>
      <c r="F14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4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41" s="32">
        <f>IF(PaymentSchedule45[[#This Row],[PMT NO]]&lt;&gt;"",PaymentSchedule45[[#This Row],[TOTAL PAYMENT]]-PaymentSchedule45[[#This Row],[INTEREST]],"")</f>
        <v>191.38913813134286</v>
      </c>
      <c r="I141" s="32">
        <f>IF(PaymentSchedule45[[#This Row],[PMT NO]]&lt;&gt;"",PaymentSchedule45[[#This Row],[BEGINNING BALANCE]]*(InterestRate/PaymentsPerYear),"")</f>
        <v>1102.8538053537579</v>
      </c>
      <c r="J14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134851.93396641043</v>
      </c>
      <c r="K141" s="32">
        <f>IF(PaymentSchedule45[[#This Row],[PMT NO]]&lt;&gt;"",SUM(INDEX(PaymentSchedule45[INTEREST],1,1):PaymentSchedule45[[#This Row],[INTEREST]]),"")</f>
        <v>147926.544845533</v>
      </c>
    </row>
    <row r="142" spans="2:11" x14ac:dyDescent="0.3">
      <c r="B142" s="30">
        <f>IF(LoanIsGood,IF(ROW()-ROW(PaymentSchedule45[[#Headers],[PMT NO]])&gt;ScheduledNumberOfPayments,"",ROW()-ROW(PaymentSchedule45[[#Headers],[PMT NO]])),"")</f>
        <v>127</v>
      </c>
      <c r="C142" s="31">
        <f>IF(PaymentSchedule45[[#This Row],[PMT NO]]&lt;&gt;"",EOMONTH(LoanStartDate,ROW(PaymentSchedule45[[#This Row],[PMT NO]])-ROW(PaymentSchedule45[[#Headers],[PMT NO]])-2)+DAY(LoanStartDate),"")</f>
        <v>47209</v>
      </c>
      <c r="D142" s="32">
        <f>IF(PaymentSchedule45[[#This Row],[PMT NO]]&lt;&gt;"",IF(ROW()-ROW(PaymentSchedule45[[#Headers],[BEGINNING BALANCE]])=1,LoanAmount,INDEX(PaymentSchedule45[ENDING BALANCE],ROW()-ROW(PaymentSchedule45[[#Headers],[BEGINNING BALANCE]])-1)),"")</f>
        <v>134851.93396641043</v>
      </c>
      <c r="E142" s="32">
        <f>IF(PaymentSchedule45[[#This Row],[PMT NO]]&lt;&gt;"",ScheduledPayment,"")</f>
        <v>1294.2429434851008</v>
      </c>
      <c r="F14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4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42" s="32">
        <f>IF(PaymentSchedule45[[#This Row],[PMT NO]]&lt;&gt;"",PaymentSchedule45[[#This Row],[TOTAL PAYMENT]]-PaymentSchedule45[[#This Row],[INTEREST]],"")</f>
        <v>192.95214942608209</v>
      </c>
      <c r="I142" s="32">
        <f>IF(PaymentSchedule45[[#This Row],[PMT NO]]&lt;&gt;"",PaymentSchedule45[[#This Row],[BEGINNING BALANCE]]*(InterestRate/PaymentsPerYear),"")</f>
        <v>1101.2907940590187</v>
      </c>
      <c r="J14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134658.98181698436</v>
      </c>
      <c r="K142" s="32">
        <f>IF(PaymentSchedule45[[#This Row],[PMT NO]]&lt;&gt;"",SUM(INDEX(PaymentSchedule45[INTEREST],1,1):PaymentSchedule45[[#This Row],[INTEREST]]),"")</f>
        <v>149027.83563959203</v>
      </c>
    </row>
    <row r="143" spans="2:11" x14ac:dyDescent="0.3">
      <c r="B143" s="30">
        <f>IF(LoanIsGood,IF(ROW()-ROW(PaymentSchedule45[[#Headers],[PMT NO]])&gt;ScheduledNumberOfPayments,"",ROW()-ROW(PaymentSchedule45[[#Headers],[PMT NO]])),"")</f>
        <v>128</v>
      </c>
      <c r="C143" s="31">
        <f>IF(PaymentSchedule45[[#This Row],[PMT NO]]&lt;&gt;"",EOMONTH(LoanStartDate,ROW(PaymentSchedule45[[#This Row],[PMT NO]])-ROW(PaymentSchedule45[[#Headers],[PMT NO]])-2)+DAY(LoanStartDate),"")</f>
        <v>47239</v>
      </c>
      <c r="D143" s="32">
        <f>IF(PaymentSchedule45[[#This Row],[PMT NO]]&lt;&gt;"",IF(ROW()-ROW(PaymentSchedule45[[#Headers],[BEGINNING BALANCE]])=1,LoanAmount,INDEX(PaymentSchedule45[ENDING BALANCE],ROW()-ROW(PaymentSchedule45[[#Headers],[BEGINNING BALANCE]])-1)),"")</f>
        <v>134658.98181698436</v>
      </c>
      <c r="E143" s="32">
        <f>IF(PaymentSchedule45[[#This Row],[PMT NO]]&lt;&gt;"",ScheduledPayment,"")</f>
        <v>1294.2429434851008</v>
      </c>
      <c r="F14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4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43" s="32">
        <f>IF(PaymentSchedule45[[#This Row],[PMT NO]]&lt;&gt;"",PaymentSchedule45[[#This Row],[TOTAL PAYMENT]]-PaymentSchedule45[[#This Row],[INTEREST]],"")</f>
        <v>194.52792531306181</v>
      </c>
      <c r="I143" s="32">
        <f>IF(PaymentSchedule45[[#This Row],[PMT NO]]&lt;&gt;"",PaymentSchedule45[[#This Row],[BEGINNING BALANCE]]*(InterestRate/PaymentsPerYear),"")</f>
        <v>1099.715018172039</v>
      </c>
      <c r="J14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134464.45389167129</v>
      </c>
      <c r="K143" s="32">
        <f>IF(PaymentSchedule45[[#This Row],[PMT NO]]&lt;&gt;"",SUM(INDEX(PaymentSchedule45[INTEREST],1,1):PaymentSchedule45[[#This Row],[INTEREST]]),"")</f>
        <v>150127.55065776408</v>
      </c>
    </row>
    <row r="144" spans="2:11" x14ac:dyDescent="0.3">
      <c r="B144" s="30">
        <f>IF(LoanIsGood,IF(ROW()-ROW(PaymentSchedule45[[#Headers],[PMT NO]])&gt;ScheduledNumberOfPayments,"",ROW()-ROW(PaymentSchedule45[[#Headers],[PMT NO]])),"")</f>
        <v>129</v>
      </c>
      <c r="C144" s="31">
        <f>IF(PaymentSchedule45[[#This Row],[PMT NO]]&lt;&gt;"",EOMONTH(LoanStartDate,ROW(PaymentSchedule45[[#This Row],[PMT NO]])-ROW(PaymentSchedule45[[#Headers],[PMT NO]])-2)+DAY(LoanStartDate),"")</f>
        <v>47270</v>
      </c>
      <c r="D144" s="32">
        <f>IF(PaymentSchedule45[[#This Row],[PMT NO]]&lt;&gt;"",IF(ROW()-ROW(PaymentSchedule45[[#Headers],[BEGINNING BALANCE]])=1,LoanAmount,INDEX(PaymentSchedule45[ENDING BALANCE],ROW()-ROW(PaymentSchedule45[[#Headers],[BEGINNING BALANCE]])-1)),"")</f>
        <v>134464.45389167129</v>
      </c>
      <c r="E144" s="32">
        <f>IF(PaymentSchedule45[[#This Row],[PMT NO]]&lt;&gt;"",ScheduledPayment,"")</f>
        <v>1294.2429434851008</v>
      </c>
      <c r="F14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4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44" s="32">
        <f>IF(PaymentSchedule45[[#This Row],[PMT NO]]&lt;&gt;"",PaymentSchedule45[[#This Row],[TOTAL PAYMENT]]-PaymentSchedule45[[#This Row],[INTEREST]],"")</f>
        <v>196.11657003645178</v>
      </c>
      <c r="I144" s="32">
        <f>IF(PaymentSchedule45[[#This Row],[PMT NO]]&lt;&gt;"",PaymentSchedule45[[#This Row],[BEGINNING BALANCE]]*(InterestRate/PaymentsPerYear),"")</f>
        <v>1098.126373448649</v>
      </c>
      <c r="J14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134268.33732163484</v>
      </c>
      <c r="K144" s="32">
        <f>IF(PaymentSchedule45[[#This Row],[PMT NO]]&lt;&gt;"",SUM(INDEX(PaymentSchedule45[INTEREST],1,1):PaymentSchedule45[[#This Row],[INTEREST]]),"")</f>
        <v>151225.67703121272</v>
      </c>
    </row>
    <row r="145" spans="2:11" x14ac:dyDescent="0.3">
      <c r="B145" s="30">
        <f>IF(LoanIsGood,IF(ROW()-ROW(PaymentSchedule45[[#Headers],[PMT NO]])&gt;ScheduledNumberOfPayments,"",ROW()-ROW(PaymentSchedule45[[#Headers],[PMT NO]])),"")</f>
        <v>130</v>
      </c>
      <c r="C145" s="31">
        <f>IF(PaymentSchedule45[[#This Row],[PMT NO]]&lt;&gt;"",EOMONTH(LoanStartDate,ROW(PaymentSchedule45[[#This Row],[PMT NO]])-ROW(PaymentSchedule45[[#Headers],[PMT NO]])-2)+DAY(LoanStartDate),"")</f>
        <v>47300</v>
      </c>
      <c r="D145" s="32">
        <f>IF(PaymentSchedule45[[#This Row],[PMT NO]]&lt;&gt;"",IF(ROW()-ROW(PaymentSchedule45[[#Headers],[BEGINNING BALANCE]])=1,LoanAmount,INDEX(PaymentSchedule45[ENDING BALANCE],ROW()-ROW(PaymentSchedule45[[#Headers],[BEGINNING BALANCE]])-1)),"")</f>
        <v>134268.33732163484</v>
      </c>
      <c r="E145" s="32">
        <f>IF(PaymentSchedule45[[#This Row],[PMT NO]]&lt;&gt;"",ScheduledPayment,"")</f>
        <v>1294.2429434851008</v>
      </c>
      <c r="F14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4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45" s="32">
        <f>IF(PaymentSchedule45[[#This Row],[PMT NO]]&lt;&gt;"",PaymentSchedule45[[#This Row],[TOTAL PAYMENT]]-PaymentSchedule45[[#This Row],[INTEREST]],"")</f>
        <v>197.71818869174945</v>
      </c>
      <c r="I145" s="32">
        <f>IF(PaymentSchedule45[[#This Row],[PMT NO]]&lt;&gt;"",PaymentSchedule45[[#This Row],[BEGINNING BALANCE]]*(InterestRate/PaymentsPerYear),"")</f>
        <v>1096.5247547933513</v>
      </c>
      <c r="J14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134070.6191329431</v>
      </c>
      <c r="K145" s="32">
        <f>IF(PaymentSchedule45[[#This Row],[PMT NO]]&lt;&gt;"",SUM(INDEX(PaymentSchedule45[INTEREST],1,1):PaymentSchedule45[[#This Row],[INTEREST]]),"")</f>
        <v>152322.20178600607</v>
      </c>
    </row>
    <row r="146" spans="2:11" x14ac:dyDescent="0.3">
      <c r="B146" s="30">
        <f>IF(LoanIsGood,IF(ROW()-ROW(PaymentSchedule45[[#Headers],[PMT NO]])&gt;ScheduledNumberOfPayments,"",ROW()-ROW(PaymentSchedule45[[#Headers],[PMT NO]])),"")</f>
        <v>131</v>
      </c>
      <c r="C146" s="31">
        <f>IF(PaymentSchedule45[[#This Row],[PMT NO]]&lt;&gt;"",EOMONTH(LoanStartDate,ROW(PaymentSchedule45[[#This Row],[PMT NO]])-ROW(PaymentSchedule45[[#Headers],[PMT NO]])-2)+DAY(LoanStartDate),"")</f>
        <v>47331</v>
      </c>
      <c r="D146" s="32">
        <f>IF(PaymentSchedule45[[#This Row],[PMT NO]]&lt;&gt;"",IF(ROW()-ROW(PaymentSchedule45[[#Headers],[BEGINNING BALANCE]])=1,LoanAmount,INDEX(PaymentSchedule45[ENDING BALANCE],ROW()-ROW(PaymentSchedule45[[#Headers],[BEGINNING BALANCE]])-1)),"")</f>
        <v>134070.6191329431</v>
      </c>
      <c r="E146" s="32">
        <f>IF(PaymentSchedule45[[#This Row],[PMT NO]]&lt;&gt;"",ScheduledPayment,"")</f>
        <v>1294.2429434851008</v>
      </c>
      <c r="F14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4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46" s="32">
        <f>IF(PaymentSchedule45[[#This Row],[PMT NO]]&lt;&gt;"",PaymentSchedule45[[#This Row],[TOTAL PAYMENT]]-PaymentSchedule45[[#This Row],[INTEREST]],"")</f>
        <v>199.33288723273199</v>
      </c>
      <c r="I146" s="32">
        <f>IF(PaymentSchedule45[[#This Row],[PMT NO]]&lt;&gt;"",PaymentSchedule45[[#This Row],[BEGINNING BALANCE]]*(InterestRate/PaymentsPerYear),"")</f>
        <v>1094.9100562523688</v>
      </c>
      <c r="J14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133871.28624571036</v>
      </c>
      <c r="K146" s="32">
        <f>IF(PaymentSchedule45[[#This Row],[PMT NO]]&lt;&gt;"",SUM(INDEX(PaymentSchedule45[INTEREST],1,1):PaymentSchedule45[[#This Row],[INTEREST]]),"")</f>
        <v>153417.11184225845</v>
      </c>
    </row>
    <row r="147" spans="2:11" x14ac:dyDescent="0.3">
      <c r="B147" s="30">
        <f>IF(LoanIsGood,IF(ROW()-ROW(PaymentSchedule45[[#Headers],[PMT NO]])&gt;ScheduledNumberOfPayments,"",ROW()-ROW(PaymentSchedule45[[#Headers],[PMT NO]])),"")</f>
        <v>132</v>
      </c>
      <c r="C147" s="31">
        <f>IF(PaymentSchedule45[[#This Row],[PMT NO]]&lt;&gt;"",EOMONTH(LoanStartDate,ROW(PaymentSchedule45[[#This Row],[PMT NO]])-ROW(PaymentSchedule45[[#Headers],[PMT NO]])-2)+DAY(LoanStartDate),"")</f>
        <v>47362</v>
      </c>
      <c r="D147" s="32">
        <f>IF(PaymentSchedule45[[#This Row],[PMT NO]]&lt;&gt;"",IF(ROW()-ROW(PaymentSchedule45[[#Headers],[BEGINNING BALANCE]])=1,LoanAmount,INDEX(PaymentSchedule45[ENDING BALANCE],ROW()-ROW(PaymentSchedule45[[#Headers],[BEGINNING BALANCE]])-1)),"")</f>
        <v>133871.28624571036</v>
      </c>
      <c r="E147" s="32">
        <f>IF(PaymentSchedule45[[#This Row],[PMT NO]]&lt;&gt;"",ScheduledPayment,"")</f>
        <v>1294.2429434851008</v>
      </c>
      <c r="F14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4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47" s="32">
        <f>IF(PaymentSchedule45[[#This Row],[PMT NO]]&lt;&gt;"",PaymentSchedule45[[#This Row],[TOTAL PAYMENT]]-PaymentSchedule45[[#This Row],[INTEREST]],"")</f>
        <v>200.96077247846597</v>
      </c>
      <c r="I147" s="32">
        <f>IF(PaymentSchedule45[[#This Row],[PMT NO]]&lt;&gt;"",PaymentSchedule45[[#This Row],[BEGINNING BALANCE]]*(InterestRate/PaymentsPerYear),"")</f>
        <v>1093.2821710066348</v>
      </c>
      <c r="J14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133670.3254732319</v>
      </c>
      <c r="K147" s="32">
        <f>IF(PaymentSchedule45[[#This Row],[PMT NO]]&lt;&gt;"",SUM(INDEX(PaymentSchedule45[INTEREST],1,1):PaymentSchedule45[[#This Row],[INTEREST]]),"")</f>
        <v>154510.39401326509</v>
      </c>
    </row>
    <row r="148" spans="2:11" x14ac:dyDescent="0.3">
      <c r="B148" s="30">
        <f>IF(LoanIsGood,IF(ROW()-ROW(PaymentSchedule45[[#Headers],[PMT NO]])&gt;ScheduledNumberOfPayments,"",ROW()-ROW(PaymentSchedule45[[#Headers],[PMT NO]])),"")</f>
        <v>133</v>
      </c>
      <c r="C148" s="31">
        <f>IF(PaymentSchedule45[[#This Row],[PMT NO]]&lt;&gt;"",EOMONTH(LoanStartDate,ROW(PaymentSchedule45[[#This Row],[PMT NO]])-ROW(PaymentSchedule45[[#Headers],[PMT NO]])-2)+DAY(LoanStartDate),"")</f>
        <v>47392</v>
      </c>
      <c r="D148" s="32">
        <f>IF(PaymentSchedule45[[#This Row],[PMT NO]]&lt;&gt;"",IF(ROW()-ROW(PaymentSchedule45[[#Headers],[BEGINNING BALANCE]])=1,LoanAmount,INDEX(PaymentSchedule45[ENDING BALANCE],ROW()-ROW(PaymentSchedule45[[#Headers],[BEGINNING BALANCE]])-1)),"")</f>
        <v>133670.3254732319</v>
      </c>
      <c r="E148" s="32">
        <f>IF(PaymentSchedule45[[#This Row],[PMT NO]]&lt;&gt;"",ScheduledPayment,"")</f>
        <v>1294.2429434851008</v>
      </c>
      <c r="F14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4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48" s="32">
        <f>IF(PaymentSchedule45[[#This Row],[PMT NO]]&lt;&gt;"",PaymentSchedule45[[#This Row],[TOTAL PAYMENT]]-PaymentSchedule45[[#This Row],[INTEREST]],"")</f>
        <v>202.60195212037343</v>
      </c>
      <c r="I148" s="32">
        <f>IF(PaymentSchedule45[[#This Row],[PMT NO]]&lt;&gt;"",PaymentSchedule45[[#This Row],[BEGINNING BALANCE]]*(InterestRate/PaymentsPerYear),"")</f>
        <v>1091.6409913647274</v>
      </c>
      <c r="J14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133467.72352111153</v>
      </c>
      <c r="K148" s="32">
        <f>IF(PaymentSchedule45[[#This Row],[PMT NO]]&lt;&gt;"",SUM(INDEX(PaymentSchedule45[INTEREST],1,1):PaymentSchedule45[[#This Row],[INTEREST]]),"")</f>
        <v>155602.03500462981</v>
      </c>
    </row>
    <row r="149" spans="2:11" x14ac:dyDescent="0.3">
      <c r="B149" s="30">
        <f>IF(LoanIsGood,IF(ROW()-ROW(PaymentSchedule45[[#Headers],[PMT NO]])&gt;ScheduledNumberOfPayments,"",ROW()-ROW(PaymentSchedule45[[#Headers],[PMT NO]])),"")</f>
        <v>134</v>
      </c>
      <c r="C149" s="31">
        <f>IF(PaymentSchedule45[[#This Row],[PMT NO]]&lt;&gt;"",EOMONTH(LoanStartDate,ROW(PaymentSchedule45[[#This Row],[PMT NO]])-ROW(PaymentSchedule45[[#Headers],[PMT NO]])-2)+DAY(LoanStartDate),"")</f>
        <v>47423</v>
      </c>
      <c r="D149" s="32">
        <f>IF(PaymentSchedule45[[#This Row],[PMT NO]]&lt;&gt;"",IF(ROW()-ROW(PaymentSchedule45[[#Headers],[BEGINNING BALANCE]])=1,LoanAmount,INDEX(PaymentSchedule45[ENDING BALANCE],ROW()-ROW(PaymentSchedule45[[#Headers],[BEGINNING BALANCE]])-1)),"")</f>
        <v>133467.72352111153</v>
      </c>
      <c r="E149" s="32">
        <f>IF(PaymentSchedule45[[#This Row],[PMT NO]]&lt;&gt;"",ScheduledPayment,"")</f>
        <v>1294.2429434851008</v>
      </c>
      <c r="F14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4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49" s="32">
        <f>IF(PaymentSchedule45[[#This Row],[PMT NO]]&lt;&gt;"",PaymentSchedule45[[#This Row],[TOTAL PAYMENT]]-PaymentSchedule45[[#This Row],[INTEREST]],"")</f>
        <v>204.25653472935642</v>
      </c>
      <c r="I149" s="32">
        <f>IF(PaymentSchedule45[[#This Row],[PMT NO]]&lt;&gt;"",PaymentSchedule45[[#This Row],[BEGINNING BALANCE]]*(InterestRate/PaymentsPerYear),"")</f>
        <v>1089.9864087557444</v>
      </c>
      <c r="J14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133263.46698638218</v>
      </c>
      <c r="K149" s="32">
        <f>IF(PaymentSchedule45[[#This Row],[PMT NO]]&lt;&gt;"",SUM(INDEX(PaymentSchedule45[INTEREST],1,1):PaymentSchedule45[[#This Row],[INTEREST]]),"")</f>
        <v>156692.02141338555</v>
      </c>
    </row>
    <row r="150" spans="2:11" x14ac:dyDescent="0.3">
      <c r="B150" s="30">
        <f>IF(LoanIsGood,IF(ROW()-ROW(PaymentSchedule45[[#Headers],[PMT NO]])&gt;ScheduledNumberOfPayments,"",ROW()-ROW(PaymentSchedule45[[#Headers],[PMT NO]])),"")</f>
        <v>135</v>
      </c>
      <c r="C150" s="31">
        <f>IF(PaymentSchedule45[[#This Row],[PMT NO]]&lt;&gt;"",EOMONTH(LoanStartDate,ROW(PaymentSchedule45[[#This Row],[PMT NO]])-ROW(PaymentSchedule45[[#Headers],[PMT NO]])-2)+DAY(LoanStartDate),"")</f>
        <v>47453</v>
      </c>
      <c r="D150" s="32">
        <f>IF(PaymentSchedule45[[#This Row],[PMT NO]]&lt;&gt;"",IF(ROW()-ROW(PaymentSchedule45[[#Headers],[BEGINNING BALANCE]])=1,LoanAmount,INDEX(PaymentSchedule45[ENDING BALANCE],ROW()-ROW(PaymentSchedule45[[#Headers],[BEGINNING BALANCE]])-1)),"")</f>
        <v>133263.46698638218</v>
      </c>
      <c r="E150" s="32">
        <f>IF(PaymentSchedule45[[#This Row],[PMT NO]]&lt;&gt;"",ScheduledPayment,"")</f>
        <v>1294.2429434851008</v>
      </c>
      <c r="F15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5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50" s="32">
        <f>IF(PaymentSchedule45[[#This Row],[PMT NO]]&lt;&gt;"",PaymentSchedule45[[#This Row],[TOTAL PAYMENT]]-PaymentSchedule45[[#This Row],[INTEREST]],"")</f>
        <v>205.92462976297952</v>
      </c>
      <c r="I150" s="32">
        <f>IF(PaymentSchedule45[[#This Row],[PMT NO]]&lt;&gt;"",PaymentSchedule45[[#This Row],[BEGINNING BALANCE]]*(InterestRate/PaymentsPerYear),"")</f>
        <v>1088.3183137221213</v>
      </c>
      <c r="J15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133057.5423566192</v>
      </c>
      <c r="K150" s="32">
        <f>IF(PaymentSchedule45[[#This Row],[PMT NO]]&lt;&gt;"",SUM(INDEX(PaymentSchedule45[INTEREST],1,1):PaymentSchedule45[[#This Row],[INTEREST]]),"")</f>
        <v>157780.33972710767</v>
      </c>
    </row>
    <row r="151" spans="2:11" x14ac:dyDescent="0.3">
      <c r="B151" s="30">
        <f>IF(LoanIsGood,IF(ROW()-ROW(PaymentSchedule45[[#Headers],[PMT NO]])&gt;ScheduledNumberOfPayments,"",ROW()-ROW(PaymentSchedule45[[#Headers],[PMT NO]])),"")</f>
        <v>136</v>
      </c>
      <c r="C151" s="31">
        <f>IF(PaymentSchedule45[[#This Row],[PMT NO]]&lt;&gt;"",EOMONTH(LoanStartDate,ROW(PaymentSchedule45[[#This Row],[PMT NO]])-ROW(PaymentSchedule45[[#Headers],[PMT NO]])-2)+DAY(LoanStartDate),"")</f>
        <v>47484</v>
      </c>
      <c r="D151" s="32">
        <f>IF(PaymentSchedule45[[#This Row],[PMT NO]]&lt;&gt;"",IF(ROW()-ROW(PaymentSchedule45[[#Headers],[BEGINNING BALANCE]])=1,LoanAmount,INDEX(PaymentSchedule45[ENDING BALANCE],ROW()-ROW(PaymentSchedule45[[#Headers],[BEGINNING BALANCE]])-1)),"")</f>
        <v>133057.5423566192</v>
      </c>
      <c r="E151" s="32">
        <f>IF(PaymentSchedule45[[#This Row],[PMT NO]]&lt;&gt;"",ScheduledPayment,"")</f>
        <v>1294.2429434851008</v>
      </c>
      <c r="F15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5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51" s="32">
        <f>IF(PaymentSchedule45[[#This Row],[PMT NO]]&lt;&gt;"",PaymentSchedule45[[#This Row],[TOTAL PAYMENT]]-PaymentSchedule45[[#This Row],[INTEREST]],"")</f>
        <v>207.60634757271055</v>
      </c>
      <c r="I151" s="32">
        <f>IF(PaymentSchedule45[[#This Row],[PMT NO]]&lt;&gt;"",PaymentSchedule45[[#This Row],[BEGINNING BALANCE]]*(InterestRate/PaymentsPerYear),"")</f>
        <v>1086.6365959123902</v>
      </c>
      <c r="J15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132849.93600904651</v>
      </c>
      <c r="K151" s="32">
        <f>IF(PaymentSchedule45[[#This Row],[PMT NO]]&lt;&gt;"",SUM(INDEX(PaymentSchedule45[INTEREST],1,1):PaymentSchedule45[[#This Row],[INTEREST]]),"")</f>
        <v>158866.97632302006</v>
      </c>
    </row>
    <row r="152" spans="2:11" x14ac:dyDescent="0.3">
      <c r="B152" s="30">
        <f>IF(LoanIsGood,IF(ROW()-ROW(PaymentSchedule45[[#Headers],[PMT NO]])&gt;ScheduledNumberOfPayments,"",ROW()-ROW(PaymentSchedule45[[#Headers],[PMT NO]])),"")</f>
        <v>137</v>
      </c>
      <c r="C152" s="31">
        <f>IF(PaymentSchedule45[[#This Row],[PMT NO]]&lt;&gt;"",EOMONTH(LoanStartDate,ROW(PaymentSchedule45[[#This Row],[PMT NO]])-ROW(PaymentSchedule45[[#Headers],[PMT NO]])-2)+DAY(LoanStartDate),"")</f>
        <v>47515</v>
      </c>
      <c r="D152" s="32">
        <f>IF(PaymentSchedule45[[#This Row],[PMT NO]]&lt;&gt;"",IF(ROW()-ROW(PaymentSchedule45[[#Headers],[BEGINNING BALANCE]])=1,LoanAmount,INDEX(PaymentSchedule45[ENDING BALANCE],ROW()-ROW(PaymentSchedule45[[#Headers],[BEGINNING BALANCE]])-1)),"")</f>
        <v>132849.93600904651</v>
      </c>
      <c r="E152" s="32">
        <f>IF(PaymentSchedule45[[#This Row],[PMT NO]]&lt;&gt;"",ScheduledPayment,"")</f>
        <v>1294.2429434851008</v>
      </c>
      <c r="F15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5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52" s="32">
        <f>IF(PaymentSchedule45[[#This Row],[PMT NO]]&lt;&gt;"",PaymentSchedule45[[#This Row],[TOTAL PAYMENT]]-PaymentSchedule45[[#This Row],[INTEREST]],"")</f>
        <v>209.30179941122083</v>
      </c>
      <c r="I152" s="32">
        <f>IF(PaymentSchedule45[[#This Row],[PMT NO]]&lt;&gt;"",PaymentSchedule45[[#This Row],[BEGINNING BALANCE]]*(InterestRate/PaymentsPerYear),"")</f>
        <v>1084.94114407388</v>
      </c>
      <c r="J15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132640.63420963529</v>
      </c>
      <c r="K152" s="32">
        <f>IF(PaymentSchedule45[[#This Row],[PMT NO]]&lt;&gt;"",SUM(INDEX(PaymentSchedule45[INTEREST],1,1):PaymentSchedule45[[#This Row],[INTEREST]]),"")</f>
        <v>159951.91746709394</v>
      </c>
    </row>
    <row r="153" spans="2:11" x14ac:dyDescent="0.3">
      <c r="B153" s="30">
        <f>IF(LoanIsGood,IF(ROW()-ROW(PaymentSchedule45[[#Headers],[PMT NO]])&gt;ScheduledNumberOfPayments,"",ROW()-ROW(PaymentSchedule45[[#Headers],[PMT NO]])),"")</f>
        <v>138</v>
      </c>
      <c r="C153" s="31">
        <f>IF(PaymentSchedule45[[#This Row],[PMT NO]]&lt;&gt;"",EOMONTH(LoanStartDate,ROW(PaymentSchedule45[[#This Row],[PMT NO]])-ROW(PaymentSchedule45[[#Headers],[PMT NO]])-2)+DAY(LoanStartDate),"")</f>
        <v>47543</v>
      </c>
      <c r="D153" s="32">
        <f>IF(PaymentSchedule45[[#This Row],[PMT NO]]&lt;&gt;"",IF(ROW()-ROW(PaymentSchedule45[[#Headers],[BEGINNING BALANCE]])=1,LoanAmount,INDEX(PaymentSchedule45[ENDING BALANCE],ROW()-ROW(PaymentSchedule45[[#Headers],[BEGINNING BALANCE]])-1)),"")</f>
        <v>132640.63420963529</v>
      </c>
      <c r="E153" s="32">
        <f>IF(PaymentSchedule45[[#This Row],[PMT NO]]&lt;&gt;"",ScheduledPayment,"")</f>
        <v>1294.2429434851008</v>
      </c>
      <c r="F15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5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53" s="32">
        <f>IF(PaymentSchedule45[[#This Row],[PMT NO]]&lt;&gt;"",PaymentSchedule45[[#This Row],[TOTAL PAYMENT]]-PaymentSchedule45[[#This Row],[INTEREST]],"")</f>
        <v>211.01109743974575</v>
      </c>
      <c r="I153" s="32">
        <f>IF(PaymentSchedule45[[#This Row],[PMT NO]]&lt;&gt;"",PaymentSchedule45[[#This Row],[BEGINNING BALANCE]]*(InterestRate/PaymentsPerYear),"")</f>
        <v>1083.231846045355</v>
      </c>
      <c r="J15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132429.62311219555</v>
      </c>
      <c r="K153" s="32">
        <f>IF(PaymentSchedule45[[#This Row],[PMT NO]]&lt;&gt;"",SUM(INDEX(PaymentSchedule45[INTEREST],1,1):PaymentSchedule45[[#This Row],[INTEREST]]),"")</f>
        <v>161035.14931313929</v>
      </c>
    </row>
    <row r="154" spans="2:11" x14ac:dyDescent="0.3">
      <c r="B154" s="30">
        <f>IF(LoanIsGood,IF(ROW()-ROW(PaymentSchedule45[[#Headers],[PMT NO]])&gt;ScheduledNumberOfPayments,"",ROW()-ROW(PaymentSchedule45[[#Headers],[PMT NO]])),"")</f>
        <v>139</v>
      </c>
      <c r="C154" s="31">
        <f>IF(PaymentSchedule45[[#This Row],[PMT NO]]&lt;&gt;"",EOMONTH(LoanStartDate,ROW(PaymentSchedule45[[#This Row],[PMT NO]])-ROW(PaymentSchedule45[[#Headers],[PMT NO]])-2)+DAY(LoanStartDate),"")</f>
        <v>47574</v>
      </c>
      <c r="D154" s="32">
        <f>IF(PaymentSchedule45[[#This Row],[PMT NO]]&lt;&gt;"",IF(ROW()-ROW(PaymentSchedule45[[#Headers],[BEGINNING BALANCE]])=1,LoanAmount,INDEX(PaymentSchedule45[ENDING BALANCE],ROW()-ROW(PaymentSchedule45[[#Headers],[BEGINNING BALANCE]])-1)),"")</f>
        <v>132429.62311219555</v>
      </c>
      <c r="E154" s="32">
        <f>IF(PaymentSchedule45[[#This Row],[PMT NO]]&lt;&gt;"",ScheduledPayment,"")</f>
        <v>1294.2429434851008</v>
      </c>
      <c r="F15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5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54" s="32">
        <f>IF(PaymentSchedule45[[#This Row],[PMT NO]]&lt;&gt;"",PaymentSchedule45[[#This Row],[TOTAL PAYMENT]]-PaymentSchedule45[[#This Row],[INTEREST]],"")</f>
        <v>212.73435473550376</v>
      </c>
      <c r="I154" s="32">
        <f>IF(PaymentSchedule45[[#This Row],[PMT NO]]&lt;&gt;"",PaymentSchedule45[[#This Row],[BEGINNING BALANCE]]*(InterestRate/PaymentsPerYear),"")</f>
        <v>1081.508588749597</v>
      </c>
      <c r="J15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132216.88875746005</v>
      </c>
      <c r="K154" s="32">
        <f>IF(PaymentSchedule45[[#This Row],[PMT NO]]&lt;&gt;"",SUM(INDEX(PaymentSchedule45[INTEREST],1,1):PaymentSchedule45[[#This Row],[INTEREST]]),"")</f>
        <v>162116.65790188889</v>
      </c>
    </row>
    <row r="155" spans="2:11" x14ac:dyDescent="0.3">
      <c r="B155" s="30">
        <f>IF(LoanIsGood,IF(ROW()-ROW(PaymentSchedule45[[#Headers],[PMT NO]])&gt;ScheduledNumberOfPayments,"",ROW()-ROW(PaymentSchedule45[[#Headers],[PMT NO]])),"")</f>
        <v>140</v>
      </c>
      <c r="C155" s="31">
        <f>IF(PaymentSchedule45[[#This Row],[PMT NO]]&lt;&gt;"",EOMONTH(LoanStartDate,ROW(PaymentSchedule45[[#This Row],[PMT NO]])-ROW(PaymentSchedule45[[#Headers],[PMT NO]])-2)+DAY(LoanStartDate),"")</f>
        <v>47604</v>
      </c>
      <c r="D155" s="32">
        <f>IF(PaymentSchedule45[[#This Row],[PMT NO]]&lt;&gt;"",IF(ROW()-ROW(PaymentSchedule45[[#Headers],[BEGINNING BALANCE]])=1,LoanAmount,INDEX(PaymentSchedule45[ENDING BALANCE],ROW()-ROW(PaymentSchedule45[[#Headers],[BEGINNING BALANCE]])-1)),"")</f>
        <v>132216.88875746005</v>
      </c>
      <c r="E155" s="32">
        <f>IF(PaymentSchedule45[[#This Row],[PMT NO]]&lt;&gt;"",ScheduledPayment,"")</f>
        <v>1294.2429434851008</v>
      </c>
      <c r="F15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5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55" s="32">
        <f>IF(PaymentSchedule45[[#This Row],[PMT NO]]&lt;&gt;"",PaymentSchedule45[[#This Row],[TOTAL PAYMENT]]-PaymentSchedule45[[#This Row],[INTEREST]],"")</f>
        <v>214.4716852991769</v>
      </c>
      <c r="I155" s="32">
        <f>IF(PaymentSchedule45[[#This Row],[PMT NO]]&lt;&gt;"",PaymentSchedule45[[#This Row],[BEGINNING BALANCE]]*(InterestRate/PaymentsPerYear),"")</f>
        <v>1079.7712581859239</v>
      </c>
      <c r="J15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132002.41707216087</v>
      </c>
      <c r="K155" s="32">
        <f>IF(PaymentSchedule45[[#This Row],[PMT NO]]&lt;&gt;"",SUM(INDEX(PaymentSchedule45[INTEREST],1,1):PaymentSchedule45[[#This Row],[INTEREST]]),"")</f>
        <v>163196.42916007483</v>
      </c>
    </row>
    <row r="156" spans="2:11" x14ac:dyDescent="0.3">
      <c r="B156" s="30">
        <f>IF(LoanIsGood,IF(ROW()-ROW(PaymentSchedule45[[#Headers],[PMT NO]])&gt;ScheduledNumberOfPayments,"",ROW()-ROW(PaymentSchedule45[[#Headers],[PMT NO]])),"")</f>
        <v>141</v>
      </c>
      <c r="C156" s="31">
        <f>IF(PaymentSchedule45[[#This Row],[PMT NO]]&lt;&gt;"",EOMONTH(LoanStartDate,ROW(PaymentSchedule45[[#This Row],[PMT NO]])-ROW(PaymentSchedule45[[#Headers],[PMT NO]])-2)+DAY(LoanStartDate),"")</f>
        <v>47635</v>
      </c>
      <c r="D156" s="32">
        <f>IF(PaymentSchedule45[[#This Row],[PMT NO]]&lt;&gt;"",IF(ROW()-ROW(PaymentSchedule45[[#Headers],[BEGINNING BALANCE]])=1,LoanAmount,INDEX(PaymentSchedule45[ENDING BALANCE],ROW()-ROW(PaymentSchedule45[[#Headers],[BEGINNING BALANCE]])-1)),"")</f>
        <v>132002.41707216087</v>
      </c>
      <c r="E156" s="32">
        <f>IF(PaymentSchedule45[[#This Row],[PMT NO]]&lt;&gt;"",ScheduledPayment,"")</f>
        <v>1294.2429434851008</v>
      </c>
      <c r="F15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5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56" s="32">
        <f>IF(PaymentSchedule45[[#This Row],[PMT NO]]&lt;&gt;"",PaymentSchedule45[[#This Row],[TOTAL PAYMENT]]-PaymentSchedule45[[#This Row],[INTEREST]],"")</f>
        <v>216.22320406245353</v>
      </c>
      <c r="I156" s="32">
        <f>IF(PaymentSchedule45[[#This Row],[PMT NO]]&lt;&gt;"",PaymentSchedule45[[#This Row],[BEGINNING BALANCE]]*(InterestRate/PaymentsPerYear),"")</f>
        <v>1078.0197394226473</v>
      </c>
      <c r="J15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131786.1938680984</v>
      </c>
      <c r="K156" s="32">
        <f>IF(PaymentSchedule45[[#This Row],[PMT NO]]&lt;&gt;"",SUM(INDEX(PaymentSchedule45[INTEREST],1,1):PaymentSchedule45[[#This Row],[INTEREST]]),"")</f>
        <v>164274.44889949748</v>
      </c>
    </row>
    <row r="157" spans="2:11" x14ac:dyDescent="0.3">
      <c r="B157" s="30">
        <f>IF(LoanIsGood,IF(ROW()-ROW(PaymentSchedule45[[#Headers],[PMT NO]])&gt;ScheduledNumberOfPayments,"",ROW()-ROW(PaymentSchedule45[[#Headers],[PMT NO]])),"")</f>
        <v>142</v>
      </c>
      <c r="C157" s="31">
        <f>IF(PaymentSchedule45[[#This Row],[PMT NO]]&lt;&gt;"",EOMONTH(LoanStartDate,ROW(PaymentSchedule45[[#This Row],[PMT NO]])-ROW(PaymentSchedule45[[#Headers],[PMT NO]])-2)+DAY(LoanStartDate),"")</f>
        <v>47665</v>
      </c>
      <c r="D157" s="32">
        <f>IF(PaymentSchedule45[[#This Row],[PMT NO]]&lt;&gt;"",IF(ROW()-ROW(PaymentSchedule45[[#Headers],[BEGINNING BALANCE]])=1,LoanAmount,INDEX(PaymentSchedule45[ENDING BALANCE],ROW()-ROW(PaymentSchedule45[[#Headers],[BEGINNING BALANCE]])-1)),"")</f>
        <v>131786.1938680984</v>
      </c>
      <c r="E157" s="32">
        <f>IF(PaymentSchedule45[[#This Row],[PMT NO]]&lt;&gt;"",ScheduledPayment,"")</f>
        <v>1294.2429434851008</v>
      </c>
      <c r="F15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5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57" s="32">
        <f>IF(PaymentSchedule45[[#This Row],[PMT NO]]&lt;&gt;"",PaymentSchedule45[[#This Row],[TOTAL PAYMENT]]-PaymentSchedule45[[#This Row],[INTEREST]],"")</f>
        <v>217.98902689563033</v>
      </c>
      <c r="I157" s="32">
        <f>IF(PaymentSchedule45[[#This Row],[PMT NO]]&lt;&gt;"",PaymentSchedule45[[#This Row],[BEGINNING BALANCE]]*(InterestRate/PaymentsPerYear),"")</f>
        <v>1076.2539165894705</v>
      </c>
      <c r="J15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131568.20484120277</v>
      </c>
      <c r="K157" s="32">
        <f>IF(PaymentSchedule45[[#This Row],[PMT NO]]&lt;&gt;"",SUM(INDEX(PaymentSchedule45[INTEREST],1,1):PaymentSchedule45[[#This Row],[INTEREST]]),"")</f>
        <v>165350.70281608694</v>
      </c>
    </row>
    <row r="158" spans="2:11" x14ac:dyDescent="0.3">
      <c r="B158" s="30">
        <f>IF(LoanIsGood,IF(ROW()-ROW(PaymentSchedule45[[#Headers],[PMT NO]])&gt;ScheduledNumberOfPayments,"",ROW()-ROW(PaymentSchedule45[[#Headers],[PMT NO]])),"")</f>
        <v>143</v>
      </c>
      <c r="C158" s="31">
        <f>IF(PaymentSchedule45[[#This Row],[PMT NO]]&lt;&gt;"",EOMONTH(LoanStartDate,ROW(PaymentSchedule45[[#This Row],[PMT NO]])-ROW(PaymentSchedule45[[#Headers],[PMT NO]])-2)+DAY(LoanStartDate),"")</f>
        <v>47696</v>
      </c>
      <c r="D158" s="32">
        <f>IF(PaymentSchedule45[[#This Row],[PMT NO]]&lt;&gt;"",IF(ROW()-ROW(PaymentSchedule45[[#Headers],[BEGINNING BALANCE]])=1,LoanAmount,INDEX(PaymentSchedule45[ENDING BALANCE],ROW()-ROW(PaymentSchedule45[[#Headers],[BEGINNING BALANCE]])-1)),"")</f>
        <v>131568.20484120277</v>
      </c>
      <c r="E158" s="32">
        <f>IF(PaymentSchedule45[[#This Row],[PMT NO]]&lt;&gt;"",ScheduledPayment,"")</f>
        <v>1294.2429434851008</v>
      </c>
      <c r="F15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5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58" s="32">
        <f>IF(PaymentSchedule45[[#This Row],[PMT NO]]&lt;&gt;"",PaymentSchedule45[[#This Row],[TOTAL PAYMENT]]-PaymentSchedule45[[#This Row],[INTEREST]],"")</f>
        <v>219.76927061527817</v>
      </c>
      <c r="I158" s="32">
        <f>IF(PaymentSchedule45[[#This Row],[PMT NO]]&lt;&gt;"",PaymentSchedule45[[#This Row],[BEGINNING BALANCE]]*(InterestRate/PaymentsPerYear),"")</f>
        <v>1074.4736728698226</v>
      </c>
      <c r="J15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131348.43557058749</v>
      </c>
      <c r="K158" s="32">
        <f>IF(PaymentSchedule45[[#This Row],[PMT NO]]&lt;&gt;"",SUM(INDEX(PaymentSchedule45[INTEREST],1,1):PaymentSchedule45[[#This Row],[INTEREST]]),"")</f>
        <v>166425.17648895676</v>
      </c>
    </row>
    <row r="159" spans="2:11" x14ac:dyDescent="0.3">
      <c r="B159" s="30">
        <f>IF(LoanIsGood,IF(ROW()-ROW(PaymentSchedule45[[#Headers],[PMT NO]])&gt;ScheduledNumberOfPayments,"",ROW()-ROW(PaymentSchedule45[[#Headers],[PMT NO]])),"")</f>
        <v>144</v>
      </c>
      <c r="C159" s="31">
        <f>IF(PaymentSchedule45[[#This Row],[PMT NO]]&lt;&gt;"",EOMONTH(LoanStartDate,ROW(PaymentSchedule45[[#This Row],[PMT NO]])-ROW(PaymentSchedule45[[#Headers],[PMT NO]])-2)+DAY(LoanStartDate),"")</f>
        <v>47727</v>
      </c>
      <c r="D159" s="32">
        <f>IF(PaymentSchedule45[[#This Row],[PMT NO]]&lt;&gt;"",IF(ROW()-ROW(PaymentSchedule45[[#Headers],[BEGINNING BALANCE]])=1,LoanAmount,INDEX(PaymentSchedule45[ENDING BALANCE],ROW()-ROW(PaymentSchedule45[[#Headers],[BEGINNING BALANCE]])-1)),"")</f>
        <v>131348.43557058749</v>
      </c>
      <c r="E159" s="32">
        <f>IF(PaymentSchedule45[[#This Row],[PMT NO]]&lt;&gt;"",ScheduledPayment,"")</f>
        <v>1294.2429434851008</v>
      </c>
      <c r="F15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5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59" s="32">
        <f>IF(PaymentSchedule45[[#This Row],[PMT NO]]&lt;&gt;"",PaymentSchedule45[[#This Row],[TOTAL PAYMENT]]-PaymentSchedule45[[#This Row],[INTEREST]],"")</f>
        <v>221.56405299196945</v>
      </c>
      <c r="I159" s="32">
        <f>IF(PaymentSchedule45[[#This Row],[PMT NO]]&lt;&gt;"",PaymentSchedule45[[#This Row],[BEGINNING BALANCE]]*(InterestRate/PaymentsPerYear),"")</f>
        <v>1072.6788904931313</v>
      </c>
      <c r="J15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131126.87151759551</v>
      </c>
      <c r="K159" s="32">
        <f>IF(PaymentSchedule45[[#This Row],[PMT NO]]&lt;&gt;"",SUM(INDEX(PaymentSchedule45[INTEREST],1,1):PaymentSchedule45[[#This Row],[INTEREST]]),"")</f>
        <v>167497.8553794499</v>
      </c>
    </row>
    <row r="160" spans="2:11" x14ac:dyDescent="0.3">
      <c r="B160" s="30">
        <f>IF(LoanIsGood,IF(ROW()-ROW(PaymentSchedule45[[#Headers],[PMT NO]])&gt;ScheduledNumberOfPayments,"",ROW()-ROW(PaymentSchedule45[[#Headers],[PMT NO]])),"")</f>
        <v>145</v>
      </c>
      <c r="C160" s="31">
        <f>IF(PaymentSchedule45[[#This Row],[PMT NO]]&lt;&gt;"",EOMONTH(LoanStartDate,ROW(PaymentSchedule45[[#This Row],[PMT NO]])-ROW(PaymentSchedule45[[#Headers],[PMT NO]])-2)+DAY(LoanStartDate),"")</f>
        <v>47757</v>
      </c>
      <c r="D160" s="32">
        <f>IF(PaymentSchedule45[[#This Row],[PMT NO]]&lt;&gt;"",IF(ROW()-ROW(PaymentSchedule45[[#Headers],[BEGINNING BALANCE]])=1,LoanAmount,INDEX(PaymentSchedule45[ENDING BALANCE],ROW()-ROW(PaymentSchedule45[[#Headers],[BEGINNING BALANCE]])-1)),"")</f>
        <v>131126.87151759551</v>
      </c>
      <c r="E160" s="32">
        <f>IF(PaymentSchedule45[[#This Row],[PMT NO]]&lt;&gt;"",ScheduledPayment,"")</f>
        <v>1294.2429434851008</v>
      </c>
      <c r="F16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6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60" s="32">
        <f>IF(PaymentSchedule45[[#This Row],[PMT NO]]&lt;&gt;"",PaymentSchedule45[[#This Row],[TOTAL PAYMENT]]-PaymentSchedule45[[#This Row],[INTEREST]],"")</f>
        <v>223.3734927580706</v>
      </c>
      <c r="I160" s="32">
        <f>IF(PaymentSchedule45[[#This Row],[PMT NO]]&lt;&gt;"",PaymentSchedule45[[#This Row],[BEGINNING BALANCE]]*(InterestRate/PaymentsPerYear),"")</f>
        <v>1070.8694507270302</v>
      </c>
      <c r="J16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130903.49802483745</v>
      </c>
      <c r="K160" s="32">
        <f>IF(PaymentSchedule45[[#This Row],[PMT NO]]&lt;&gt;"",SUM(INDEX(PaymentSchedule45[INTEREST],1,1):PaymentSchedule45[[#This Row],[INTEREST]]),"")</f>
        <v>168568.72483017694</v>
      </c>
    </row>
    <row r="161" spans="2:11" x14ac:dyDescent="0.3">
      <c r="B161" s="30">
        <f>IF(LoanIsGood,IF(ROW()-ROW(PaymentSchedule45[[#Headers],[PMT NO]])&gt;ScheduledNumberOfPayments,"",ROW()-ROW(PaymentSchedule45[[#Headers],[PMT NO]])),"")</f>
        <v>146</v>
      </c>
      <c r="C161" s="31">
        <f>IF(PaymentSchedule45[[#This Row],[PMT NO]]&lt;&gt;"",EOMONTH(LoanStartDate,ROW(PaymentSchedule45[[#This Row],[PMT NO]])-ROW(PaymentSchedule45[[#Headers],[PMT NO]])-2)+DAY(LoanStartDate),"")</f>
        <v>47788</v>
      </c>
      <c r="D161" s="32">
        <f>IF(PaymentSchedule45[[#This Row],[PMT NO]]&lt;&gt;"",IF(ROW()-ROW(PaymentSchedule45[[#Headers],[BEGINNING BALANCE]])=1,LoanAmount,INDEX(PaymentSchedule45[ENDING BALANCE],ROW()-ROW(PaymentSchedule45[[#Headers],[BEGINNING BALANCE]])-1)),"")</f>
        <v>130903.49802483745</v>
      </c>
      <c r="E161" s="32">
        <f>IF(PaymentSchedule45[[#This Row],[PMT NO]]&lt;&gt;"",ScheduledPayment,"")</f>
        <v>1294.2429434851008</v>
      </c>
      <c r="F16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6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61" s="32">
        <f>IF(PaymentSchedule45[[#This Row],[PMT NO]]&lt;&gt;"",PaymentSchedule45[[#This Row],[TOTAL PAYMENT]]-PaymentSchedule45[[#This Row],[INTEREST]],"")</f>
        <v>225.19770961559493</v>
      </c>
      <c r="I161" s="32">
        <f>IF(PaymentSchedule45[[#This Row],[PMT NO]]&lt;&gt;"",PaymentSchedule45[[#This Row],[BEGINNING BALANCE]]*(InterestRate/PaymentsPerYear),"")</f>
        <v>1069.0452338695059</v>
      </c>
      <c r="J16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130678.30031522186</v>
      </c>
      <c r="K161" s="32">
        <f>IF(PaymentSchedule45[[#This Row],[PMT NO]]&lt;&gt;"",SUM(INDEX(PaymentSchedule45[INTEREST],1,1):PaymentSchedule45[[#This Row],[INTEREST]]),"")</f>
        <v>169637.77006404646</v>
      </c>
    </row>
    <row r="162" spans="2:11" x14ac:dyDescent="0.3">
      <c r="B162" s="30">
        <f>IF(LoanIsGood,IF(ROW()-ROW(PaymentSchedule45[[#Headers],[PMT NO]])&gt;ScheduledNumberOfPayments,"",ROW()-ROW(PaymentSchedule45[[#Headers],[PMT NO]])),"")</f>
        <v>147</v>
      </c>
      <c r="C162" s="31">
        <f>IF(PaymentSchedule45[[#This Row],[PMT NO]]&lt;&gt;"",EOMONTH(LoanStartDate,ROW(PaymentSchedule45[[#This Row],[PMT NO]])-ROW(PaymentSchedule45[[#Headers],[PMT NO]])-2)+DAY(LoanStartDate),"")</f>
        <v>47818</v>
      </c>
      <c r="D162" s="32">
        <f>IF(PaymentSchedule45[[#This Row],[PMT NO]]&lt;&gt;"",IF(ROW()-ROW(PaymentSchedule45[[#Headers],[BEGINNING BALANCE]])=1,LoanAmount,INDEX(PaymentSchedule45[ENDING BALANCE],ROW()-ROW(PaymentSchedule45[[#Headers],[BEGINNING BALANCE]])-1)),"")</f>
        <v>130678.30031522186</v>
      </c>
      <c r="E162" s="32">
        <f>IF(PaymentSchedule45[[#This Row],[PMT NO]]&lt;&gt;"",ScheduledPayment,"")</f>
        <v>1294.2429434851008</v>
      </c>
      <c r="F16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6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62" s="32">
        <f>IF(PaymentSchedule45[[#This Row],[PMT NO]]&lt;&gt;"",PaymentSchedule45[[#This Row],[TOTAL PAYMENT]]-PaymentSchedule45[[#This Row],[INTEREST]],"")</f>
        <v>227.03682424412227</v>
      </c>
      <c r="I162" s="32">
        <f>IF(PaymentSchedule45[[#This Row],[PMT NO]]&lt;&gt;"",PaymentSchedule45[[#This Row],[BEGINNING BALANCE]]*(InterestRate/PaymentsPerYear),"")</f>
        <v>1067.2061192409785</v>
      </c>
      <c r="J16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130451.26349097774</v>
      </c>
      <c r="K162" s="32">
        <f>IF(PaymentSchedule45[[#This Row],[PMT NO]]&lt;&gt;"",SUM(INDEX(PaymentSchedule45[INTEREST],1,1):PaymentSchedule45[[#This Row],[INTEREST]]),"")</f>
        <v>170704.97618328745</v>
      </c>
    </row>
    <row r="163" spans="2:11" x14ac:dyDescent="0.3">
      <c r="B163" s="30">
        <f>IF(LoanIsGood,IF(ROW()-ROW(PaymentSchedule45[[#Headers],[PMT NO]])&gt;ScheduledNumberOfPayments,"",ROW()-ROW(PaymentSchedule45[[#Headers],[PMT NO]])),"")</f>
        <v>148</v>
      </c>
      <c r="C163" s="31">
        <f>IF(PaymentSchedule45[[#This Row],[PMT NO]]&lt;&gt;"",EOMONTH(LoanStartDate,ROW(PaymentSchedule45[[#This Row],[PMT NO]])-ROW(PaymentSchedule45[[#Headers],[PMT NO]])-2)+DAY(LoanStartDate),"")</f>
        <v>47849</v>
      </c>
      <c r="D163" s="32">
        <f>IF(PaymentSchedule45[[#This Row],[PMT NO]]&lt;&gt;"",IF(ROW()-ROW(PaymentSchedule45[[#Headers],[BEGINNING BALANCE]])=1,LoanAmount,INDEX(PaymentSchedule45[ENDING BALANCE],ROW()-ROW(PaymentSchedule45[[#Headers],[BEGINNING BALANCE]])-1)),"")</f>
        <v>130451.26349097774</v>
      </c>
      <c r="E163" s="32">
        <f>IF(PaymentSchedule45[[#This Row],[PMT NO]]&lt;&gt;"",ScheduledPayment,"")</f>
        <v>1294.2429434851008</v>
      </c>
      <c r="F16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6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63" s="32">
        <f>IF(PaymentSchedule45[[#This Row],[PMT NO]]&lt;&gt;"",PaymentSchedule45[[#This Row],[TOTAL PAYMENT]]-PaymentSchedule45[[#This Row],[INTEREST]],"")</f>
        <v>228.8909583087825</v>
      </c>
      <c r="I163" s="32">
        <f>IF(PaymentSchedule45[[#This Row],[PMT NO]]&lt;&gt;"",PaymentSchedule45[[#This Row],[BEGINNING BALANCE]]*(InterestRate/PaymentsPerYear),"")</f>
        <v>1065.3519851763183</v>
      </c>
      <c r="J16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130222.37253266896</v>
      </c>
      <c r="K163" s="32">
        <f>IF(PaymentSchedule45[[#This Row],[PMT NO]]&lt;&gt;"",SUM(INDEX(PaymentSchedule45[INTEREST],1,1):PaymentSchedule45[[#This Row],[INTEREST]]),"")</f>
        <v>171770.32816846378</v>
      </c>
    </row>
    <row r="164" spans="2:11" x14ac:dyDescent="0.3">
      <c r="B164" s="30">
        <f>IF(LoanIsGood,IF(ROW()-ROW(PaymentSchedule45[[#Headers],[PMT NO]])&gt;ScheduledNumberOfPayments,"",ROW()-ROW(PaymentSchedule45[[#Headers],[PMT NO]])),"")</f>
        <v>149</v>
      </c>
      <c r="C164" s="31">
        <f>IF(PaymentSchedule45[[#This Row],[PMT NO]]&lt;&gt;"",EOMONTH(LoanStartDate,ROW(PaymentSchedule45[[#This Row],[PMT NO]])-ROW(PaymentSchedule45[[#Headers],[PMT NO]])-2)+DAY(LoanStartDate),"")</f>
        <v>47880</v>
      </c>
      <c r="D164" s="32">
        <f>IF(PaymentSchedule45[[#This Row],[PMT NO]]&lt;&gt;"",IF(ROW()-ROW(PaymentSchedule45[[#Headers],[BEGINNING BALANCE]])=1,LoanAmount,INDEX(PaymentSchedule45[ENDING BALANCE],ROW()-ROW(PaymentSchedule45[[#Headers],[BEGINNING BALANCE]])-1)),"")</f>
        <v>130222.37253266896</v>
      </c>
      <c r="E164" s="32">
        <f>IF(PaymentSchedule45[[#This Row],[PMT NO]]&lt;&gt;"",ScheduledPayment,"")</f>
        <v>1294.2429434851008</v>
      </c>
      <c r="F16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6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64" s="32">
        <f>IF(PaymentSchedule45[[#This Row],[PMT NO]]&lt;&gt;"",PaymentSchedule45[[#This Row],[TOTAL PAYMENT]]-PaymentSchedule45[[#This Row],[INTEREST]],"")</f>
        <v>230.76023446830413</v>
      </c>
      <c r="I164" s="32">
        <f>IF(PaymentSchedule45[[#This Row],[PMT NO]]&lt;&gt;"",PaymentSchedule45[[#This Row],[BEGINNING BALANCE]]*(InterestRate/PaymentsPerYear),"")</f>
        <v>1063.4827090167967</v>
      </c>
      <c r="J16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129991.61229820065</v>
      </c>
      <c r="K164" s="32">
        <f>IF(PaymentSchedule45[[#This Row],[PMT NO]]&lt;&gt;"",SUM(INDEX(PaymentSchedule45[INTEREST],1,1):PaymentSchedule45[[#This Row],[INTEREST]]),"")</f>
        <v>172833.81087748057</v>
      </c>
    </row>
    <row r="165" spans="2:11" x14ac:dyDescent="0.3">
      <c r="B165" s="30">
        <f>IF(LoanIsGood,IF(ROW()-ROW(PaymentSchedule45[[#Headers],[PMT NO]])&gt;ScheduledNumberOfPayments,"",ROW()-ROW(PaymentSchedule45[[#Headers],[PMT NO]])),"")</f>
        <v>150</v>
      </c>
      <c r="C165" s="31">
        <f>IF(PaymentSchedule45[[#This Row],[PMT NO]]&lt;&gt;"",EOMONTH(LoanStartDate,ROW(PaymentSchedule45[[#This Row],[PMT NO]])-ROW(PaymentSchedule45[[#Headers],[PMT NO]])-2)+DAY(LoanStartDate),"")</f>
        <v>47908</v>
      </c>
      <c r="D165" s="32">
        <f>IF(PaymentSchedule45[[#This Row],[PMT NO]]&lt;&gt;"",IF(ROW()-ROW(PaymentSchedule45[[#Headers],[BEGINNING BALANCE]])=1,LoanAmount,INDEX(PaymentSchedule45[ENDING BALANCE],ROW()-ROW(PaymentSchedule45[[#Headers],[BEGINNING BALANCE]])-1)),"")</f>
        <v>129991.61229820065</v>
      </c>
      <c r="E165" s="32">
        <f>IF(PaymentSchedule45[[#This Row],[PMT NO]]&lt;&gt;"",ScheduledPayment,"")</f>
        <v>1294.2429434851008</v>
      </c>
      <c r="F16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6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65" s="32">
        <f>IF(PaymentSchedule45[[#This Row],[PMT NO]]&lt;&gt;"",PaymentSchedule45[[#This Row],[TOTAL PAYMENT]]-PaymentSchedule45[[#This Row],[INTEREST]],"")</f>
        <v>232.6447763831286</v>
      </c>
      <c r="I165" s="32">
        <f>IF(PaymentSchedule45[[#This Row],[PMT NO]]&lt;&gt;"",PaymentSchedule45[[#This Row],[BEGINNING BALANCE]]*(InterestRate/PaymentsPerYear),"")</f>
        <v>1061.5981671019722</v>
      </c>
      <c r="J16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129758.96752181753</v>
      </c>
      <c r="K165" s="32">
        <f>IF(PaymentSchedule45[[#This Row],[PMT NO]]&lt;&gt;"",SUM(INDEX(PaymentSchedule45[INTEREST],1,1):PaymentSchedule45[[#This Row],[INTEREST]]),"")</f>
        <v>173895.40904458254</v>
      </c>
    </row>
    <row r="166" spans="2:11" x14ac:dyDescent="0.3">
      <c r="B166" s="30">
        <f>IF(LoanIsGood,IF(ROW()-ROW(PaymentSchedule45[[#Headers],[PMT NO]])&gt;ScheduledNumberOfPayments,"",ROW()-ROW(PaymentSchedule45[[#Headers],[PMT NO]])),"")</f>
        <v>151</v>
      </c>
      <c r="C166" s="31">
        <f>IF(PaymentSchedule45[[#This Row],[PMT NO]]&lt;&gt;"",EOMONTH(LoanStartDate,ROW(PaymentSchedule45[[#This Row],[PMT NO]])-ROW(PaymentSchedule45[[#Headers],[PMT NO]])-2)+DAY(LoanStartDate),"")</f>
        <v>47939</v>
      </c>
      <c r="D166" s="32">
        <f>IF(PaymentSchedule45[[#This Row],[PMT NO]]&lt;&gt;"",IF(ROW()-ROW(PaymentSchedule45[[#Headers],[BEGINNING BALANCE]])=1,LoanAmount,INDEX(PaymentSchedule45[ENDING BALANCE],ROW()-ROW(PaymentSchedule45[[#Headers],[BEGINNING BALANCE]])-1)),"")</f>
        <v>129758.96752181753</v>
      </c>
      <c r="E166" s="32">
        <f>IF(PaymentSchedule45[[#This Row],[PMT NO]]&lt;&gt;"",ScheduledPayment,"")</f>
        <v>1294.2429434851008</v>
      </c>
      <c r="F16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6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66" s="32">
        <f>IF(PaymentSchedule45[[#This Row],[PMT NO]]&lt;&gt;"",PaymentSchedule45[[#This Row],[TOTAL PAYMENT]]-PaymentSchedule45[[#This Row],[INTEREST]],"")</f>
        <v>234.54470872359093</v>
      </c>
      <c r="I166" s="32">
        <f>IF(PaymentSchedule45[[#This Row],[PMT NO]]&lt;&gt;"",PaymentSchedule45[[#This Row],[BEGINNING BALANCE]]*(InterestRate/PaymentsPerYear),"")</f>
        <v>1059.6982347615099</v>
      </c>
      <c r="J16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129524.42281309393</v>
      </c>
      <c r="K166" s="32">
        <f>IF(PaymentSchedule45[[#This Row],[PMT NO]]&lt;&gt;"",SUM(INDEX(PaymentSchedule45[INTEREST],1,1):PaymentSchedule45[[#This Row],[INTEREST]]),"")</f>
        <v>174955.10727934405</v>
      </c>
    </row>
    <row r="167" spans="2:11" x14ac:dyDescent="0.3">
      <c r="B167" s="30">
        <f>IF(LoanIsGood,IF(ROW()-ROW(PaymentSchedule45[[#Headers],[PMT NO]])&gt;ScheduledNumberOfPayments,"",ROW()-ROW(PaymentSchedule45[[#Headers],[PMT NO]])),"")</f>
        <v>152</v>
      </c>
      <c r="C167" s="31">
        <f>IF(PaymentSchedule45[[#This Row],[PMT NO]]&lt;&gt;"",EOMONTH(LoanStartDate,ROW(PaymentSchedule45[[#This Row],[PMT NO]])-ROW(PaymentSchedule45[[#Headers],[PMT NO]])-2)+DAY(LoanStartDate),"")</f>
        <v>47969</v>
      </c>
      <c r="D167" s="32">
        <f>IF(PaymentSchedule45[[#This Row],[PMT NO]]&lt;&gt;"",IF(ROW()-ROW(PaymentSchedule45[[#Headers],[BEGINNING BALANCE]])=1,LoanAmount,INDEX(PaymentSchedule45[ENDING BALANCE],ROW()-ROW(PaymentSchedule45[[#Headers],[BEGINNING BALANCE]])-1)),"")</f>
        <v>129524.42281309393</v>
      </c>
      <c r="E167" s="32">
        <f>IF(PaymentSchedule45[[#This Row],[PMT NO]]&lt;&gt;"",ScheduledPayment,"")</f>
        <v>1294.2429434851008</v>
      </c>
      <c r="F16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6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67" s="32">
        <f>IF(PaymentSchedule45[[#This Row],[PMT NO]]&lt;&gt;"",PaymentSchedule45[[#This Row],[TOTAL PAYMENT]]-PaymentSchedule45[[#This Row],[INTEREST]],"")</f>
        <v>236.46015717816681</v>
      </c>
      <c r="I167" s="32">
        <f>IF(PaymentSchedule45[[#This Row],[PMT NO]]&lt;&gt;"",PaymentSchedule45[[#This Row],[BEGINNING BALANCE]]*(InterestRate/PaymentsPerYear),"")</f>
        <v>1057.782786306934</v>
      </c>
      <c r="J16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129287.96265591576</v>
      </c>
      <c r="K167" s="32">
        <f>IF(PaymentSchedule45[[#This Row],[PMT NO]]&lt;&gt;"",SUM(INDEX(PaymentSchedule45[INTEREST],1,1):PaymentSchedule45[[#This Row],[INTEREST]]),"")</f>
        <v>176012.89006565098</v>
      </c>
    </row>
    <row r="168" spans="2:11" x14ac:dyDescent="0.3">
      <c r="B168" s="30">
        <f>IF(LoanIsGood,IF(ROW()-ROW(PaymentSchedule45[[#Headers],[PMT NO]])&gt;ScheduledNumberOfPayments,"",ROW()-ROW(PaymentSchedule45[[#Headers],[PMT NO]])),"")</f>
        <v>153</v>
      </c>
      <c r="C168" s="31">
        <f>IF(PaymentSchedule45[[#This Row],[PMT NO]]&lt;&gt;"",EOMONTH(LoanStartDate,ROW(PaymentSchedule45[[#This Row],[PMT NO]])-ROW(PaymentSchedule45[[#Headers],[PMT NO]])-2)+DAY(LoanStartDate),"")</f>
        <v>48000</v>
      </c>
      <c r="D168" s="32">
        <f>IF(PaymentSchedule45[[#This Row],[PMT NO]]&lt;&gt;"",IF(ROW()-ROW(PaymentSchedule45[[#Headers],[BEGINNING BALANCE]])=1,LoanAmount,INDEX(PaymentSchedule45[ENDING BALANCE],ROW()-ROW(PaymentSchedule45[[#Headers],[BEGINNING BALANCE]])-1)),"")</f>
        <v>129287.96265591576</v>
      </c>
      <c r="E168" s="32">
        <f>IF(PaymentSchedule45[[#This Row],[PMT NO]]&lt;&gt;"",ScheduledPayment,"")</f>
        <v>1294.2429434851008</v>
      </c>
      <c r="F16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6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68" s="32">
        <f>IF(PaymentSchedule45[[#This Row],[PMT NO]]&lt;&gt;"",PaymentSchedule45[[#This Row],[TOTAL PAYMENT]]-PaymentSchedule45[[#This Row],[INTEREST]],"")</f>
        <v>238.39124846178856</v>
      </c>
      <c r="I168" s="32">
        <f>IF(PaymentSchedule45[[#This Row],[PMT NO]]&lt;&gt;"",PaymentSchedule45[[#This Row],[BEGINNING BALANCE]]*(InterestRate/PaymentsPerYear),"")</f>
        <v>1055.8516950233122</v>
      </c>
      <c r="J16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129049.57140745397</v>
      </c>
      <c r="K168" s="32">
        <f>IF(PaymentSchedule45[[#This Row],[PMT NO]]&lt;&gt;"",SUM(INDEX(PaymentSchedule45[INTEREST],1,1):PaymentSchedule45[[#This Row],[INTEREST]]),"")</f>
        <v>177068.74176067428</v>
      </c>
    </row>
    <row r="169" spans="2:11" x14ac:dyDescent="0.3">
      <c r="B169" s="30">
        <f>IF(LoanIsGood,IF(ROW()-ROW(PaymentSchedule45[[#Headers],[PMT NO]])&gt;ScheduledNumberOfPayments,"",ROW()-ROW(PaymentSchedule45[[#Headers],[PMT NO]])),"")</f>
        <v>154</v>
      </c>
      <c r="C169" s="31">
        <f>IF(PaymentSchedule45[[#This Row],[PMT NO]]&lt;&gt;"",EOMONTH(LoanStartDate,ROW(PaymentSchedule45[[#This Row],[PMT NO]])-ROW(PaymentSchedule45[[#Headers],[PMT NO]])-2)+DAY(LoanStartDate),"")</f>
        <v>48030</v>
      </c>
      <c r="D169" s="32">
        <f>IF(PaymentSchedule45[[#This Row],[PMT NO]]&lt;&gt;"",IF(ROW()-ROW(PaymentSchedule45[[#Headers],[BEGINNING BALANCE]])=1,LoanAmount,INDEX(PaymentSchedule45[ENDING BALANCE],ROW()-ROW(PaymentSchedule45[[#Headers],[BEGINNING BALANCE]])-1)),"")</f>
        <v>129049.57140745397</v>
      </c>
      <c r="E169" s="32">
        <f>IF(PaymentSchedule45[[#This Row],[PMT NO]]&lt;&gt;"",ScheduledPayment,"")</f>
        <v>1294.2429434851008</v>
      </c>
      <c r="F16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6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69" s="32">
        <f>IF(PaymentSchedule45[[#This Row],[PMT NO]]&lt;&gt;"",PaymentSchedule45[[#This Row],[TOTAL PAYMENT]]-PaymentSchedule45[[#This Row],[INTEREST]],"")</f>
        <v>240.33811032422659</v>
      </c>
      <c r="I169" s="32">
        <f>IF(PaymentSchedule45[[#This Row],[PMT NO]]&lt;&gt;"",PaymentSchedule45[[#This Row],[BEGINNING BALANCE]]*(InterestRate/PaymentsPerYear),"")</f>
        <v>1053.9048331608742</v>
      </c>
      <c r="J16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128809.23329712974</v>
      </c>
      <c r="K169" s="32">
        <f>IF(PaymentSchedule45[[#This Row],[PMT NO]]&lt;&gt;"",SUM(INDEX(PaymentSchedule45[INTEREST],1,1):PaymentSchedule45[[#This Row],[INTEREST]]),"")</f>
        <v>178122.64659383515</v>
      </c>
    </row>
    <row r="170" spans="2:11" x14ac:dyDescent="0.3">
      <c r="B170" s="30">
        <f>IF(LoanIsGood,IF(ROW()-ROW(PaymentSchedule45[[#Headers],[PMT NO]])&gt;ScheduledNumberOfPayments,"",ROW()-ROW(PaymentSchedule45[[#Headers],[PMT NO]])),"")</f>
        <v>155</v>
      </c>
      <c r="C170" s="31">
        <f>IF(PaymentSchedule45[[#This Row],[PMT NO]]&lt;&gt;"",EOMONTH(LoanStartDate,ROW(PaymentSchedule45[[#This Row],[PMT NO]])-ROW(PaymentSchedule45[[#Headers],[PMT NO]])-2)+DAY(LoanStartDate),"")</f>
        <v>48061</v>
      </c>
      <c r="D170" s="32">
        <f>IF(PaymentSchedule45[[#This Row],[PMT NO]]&lt;&gt;"",IF(ROW()-ROW(PaymentSchedule45[[#Headers],[BEGINNING BALANCE]])=1,LoanAmount,INDEX(PaymentSchedule45[ENDING BALANCE],ROW()-ROW(PaymentSchedule45[[#Headers],[BEGINNING BALANCE]])-1)),"")</f>
        <v>128809.23329712974</v>
      </c>
      <c r="E170" s="32">
        <f>IF(PaymentSchedule45[[#This Row],[PMT NO]]&lt;&gt;"",ScheduledPayment,"")</f>
        <v>1294.2429434851008</v>
      </c>
      <c r="F17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7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70" s="32">
        <f>IF(PaymentSchedule45[[#This Row],[PMT NO]]&lt;&gt;"",PaymentSchedule45[[#This Row],[TOTAL PAYMENT]]-PaymentSchedule45[[#This Row],[INTEREST]],"")</f>
        <v>242.30087155854108</v>
      </c>
      <c r="I170" s="32">
        <f>IF(PaymentSchedule45[[#This Row],[PMT NO]]&lt;&gt;"",PaymentSchedule45[[#This Row],[BEGINNING BALANCE]]*(InterestRate/PaymentsPerYear),"")</f>
        <v>1051.9420719265597</v>
      </c>
      <c r="J17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128566.9324255712</v>
      </c>
      <c r="K170" s="32">
        <f>IF(PaymentSchedule45[[#This Row],[PMT NO]]&lt;&gt;"",SUM(INDEX(PaymentSchedule45[INTEREST],1,1):PaymentSchedule45[[#This Row],[INTEREST]]),"")</f>
        <v>179174.58866576169</v>
      </c>
    </row>
    <row r="171" spans="2:11" x14ac:dyDescent="0.3">
      <c r="B171" s="30">
        <f>IF(LoanIsGood,IF(ROW()-ROW(PaymentSchedule45[[#Headers],[PMT NO]])&gt;ScheduledNumberOfPayments,"",ROW()-ROW(PaymentSchedule45[[#Headers],[PMT NO]])),"")</f>
        <v>156</v>
      </c>
      <c r="C171" s="31">
        <f>IF(PaymentSchedule45[[#This Row],[PMT NO]]&lt;&gt;"",EOMONTH(LoanStartDate,ROW(PaymentSchedule45[[#This Row],[PMT NO]])-ROW(PaymentSchedule45[[#Headers],[PMT NO]])-2)+DAY(LoanStartDate),"")</f>
        <v>48092</v>
      </c>
      <c r="D171" s="32">
        <f>IF(PaymentSchedule45[[#This Row],[PMT NO]]&lt;&gt;"",IF(ROW()-ROW(PaymentSchedule45[[#Headers],[BEGINNING BALANCE]])=1,LoanAmount,INDEX(PaymentSchedule45[ENDING BALANCE],ROW()-ROW(PaymentSchedule45[[#Headers],[BEGINNING BALANCE]])-1)),"")</f>
        <v>128566.9324255712</v>
      </c>
      <c r="E171" s="32">
        <f>IF(PaymentSchedule45[[#This Row],[PMT NO]]&lt;&gt;"",ScheduledPayment,"")</f>
        <v>1294.2429434851008</v>
      </c>
      <c r="F17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7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71" s="32">
        <f>IF(PaymentSchedule45[[#This Row],[PMT NO]]&lt;&gt;"",PaymentSchedule45[[#This Row],[TOTAL PAYMENT]]-PaymentSchedule45[[#This Row],[INTEREST]],"")</f>
        <v>244.27966200960259</v>
      </c>
      <c r="I171" s="32">
        <f>IF(PaymentSchedule45[[#This Row],[PMT NO]]&lt;&gt;"",PaymentSchedule45[[#This Row],[BEGINNING BALANCE]]*(InterestRate/PaymentsPerYear),"")</f>
        <v>1049.9632814754982</v>
      </c>
      <c r="J17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128322.65276356159</v>
      </c>
      <c r="K171" s="32">
        <f>IF(PaymentSchedule45[[#This Row],[PMT NO]]&lt;&gt;"",SUM(INDEX(PaymentSchedule45[INTEREST],1,1):PaymentSchedule45[[#This Row],[INTEREST]]),"")</f>
        <v>180224.5519472372</v>
      </c>
    </row>
    <row r="172" spans="2:11" x14ac:dyDescent="0.3">
      <c r="B172" s="30">
        <f>IF(LoanIsGood,IF(ROW()-ROW(PaymentSchedule45[[#Headers],[PMT NO]])&gt;ScheduledNumberOfPayments,"",ROW()-ROW(PaymentSchedule45[[#Headers],[PMT NO]])),"")</f>
        <v>157</v>
      </c>
      <c r="C172" s="31">
        <f>IF(PaymentSchedule45[[#This Row],[PMT NO]]&lt;&gt;"",EOMONTH(LoanStartDate,ROW(PaymentSchedule45[[#This Row],[PMT NO]])-ROW(PaymentSchedule45[[#Headers],[PMT NO]])-2)+DAY(LoanStartDate),"")</f>
        <v>48122</v>
      </c>
      <c r="D172" s="32">
        <f>IF(PaymentSchedule45[[#This Row],[PMT NO]]&lt;&gt;"",IF(ROW()-ROW(PaymentSchedule45[[#Headers],[BEGINNING BALANCE]])=1,LoanAmount,INDEX(PaymentSchedule45[ENDING BALANCE],ROW()-ROW(PaymentSchedule45[[#Headers],[BEGINNING BALANCE]])-1)),"")</f>
        <v>128322.65276356159</v>
      </c>
      <c r="E172" s="32">
        <f>IF(PaymentSchedule45[[#This Row],[PMT NO]]&lt;&gt;"",ScheduledPayment,"")</f>
        <v>1294.2429434851008</v>
      </c>
      <c r="F17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7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72" s="32">
        <f>IF(PaymentSchedule45[[#This Row],[PMT NO]]&lt;&gt;"",PaymentSchedule45[[#This Row],[TOTAL PAYMENT]]-PaymentSchedule45[[#This Row],[INTEREST]],"")</f>
        <v>246.2746125826809</v>
      </c>
      <c r="I172" s="32">
        <f>IF(PaymentSchedule45[[#This Row],[PMT NO]]&lt;&gt;"",PaymentSchedule45[[#This Row],[BEGINNING BALANCE]]*(InterestRate/PaymentsPerYear),"")</f>
        <v>1047.9683309024199</v>
      </c>
      <c r="J17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128076.37815097891</v>
      </c>
      <c r="K172" s="32">
        <f>IF(PaymentSchedule45[[#This Row],[PMT NO]]&lt;&gt;"",SUM(INDEX(PaymentSchedule45[INTEREST],1,1):PaymentSchedule45[[#This Row],[INTEREST]]),"")</f>
        <v>181272.52027813962</v>
      </c>
    </row>
    <row r="173" spans="2:11" x14ac:dyDescent="0.3">
      <c r="B173" s="30">
        <f>IF(LoanIsGood,IF(ROW()-ROW(PaymentSchedule45[[#Headers],[PMT NO]])&gt;ScheduledNumberOfPayments,"",ROW()-ROW(PaymentSchedule45[[#Headers],[PMT NO]])),"")</f>
        <v>158</v>
      </c>
      <c r="C173" s="31">
        <f>IF(PaymentSchedule45[[#This Row],[PMT NO]]&lt;&gt;"",EOMONTH(LoanStartDate,ROW(PaymentSchedule45[[#This Row],[PMT NO]])-ROW(PaymentSchedule45[[#Headers],[PMT NO]])-2)+DAY(LoanStartDate),"")</f>
        <v>48153</v>
      </c>
      <c r="D173" s="32">
        <f>IF(PaymentSchedule45[[#This Row],[PMT NO]]&lt;&gt;"",IF(ROW()-ROW(PaymentSchedule45[[#Headers],[BEGINNING BALANCE]])=1,LoanAmount,INDEX(PaymentSchedule45[ENDING BALANCE],ROW()-ROW(PaymentSchedule45[[#Headers],[BEGINNING BALANCE]])-1)),"")</f>
        <v>128076.37815097891</v>
      </c>
      <c r="E173" s="32">
        <f>IF(PaymentSchedule45[[#This Row],[PMT NO]]&lt;&gt;"",ScheduledPayment,"")</f>
        <v>1294.2429434851008</v>
      </c>
      <c r="F17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7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73" s="32">
        <f>IF(PaymentSchedule45[[#This Row],[PMT NO]]&lt;&gt;"",PaymentSchedule45[[#This Row],[TOTAL PAYMENT]]-PaymentSchedule45[[#This Row],[INTEREST]],"")</f>
        <v>248.28585525210633</v>
      </c>
      <c r="I173" s="32">
        <f>IF(PaymentSchedule45[[#This Row],[PMT NO]]&lt;&gt;"",PaymentSchedule45[[#This Row],[BEGINNING BALANCE]]*(InterestRate/PaymentsPerYear),"")</f>
        <v>1045.9570882329945</v>
      </c>
      <c r="J17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127828.0922957268</v>
      </c>
      <c r="K173" s="32">
        <f>IF(PaymentSchedule45[[#This Row],[PMT NO]]&lt;&gt;"",SUM(INDEX(PaymentSchedule45[INTEREST],1,1):PaymentSchedule45[[#This Row],[INTEREST]]),"")</f>
        <v>182318.47736637262</v>
      </c>
    </row>
    <row r="174" spans="2:11" x14ac:dyDescent="0.3">
      <c r="B174" s="30">
        <f>IF(LoanIsGood,IF(ROW()-ROW(PaymentSchedule45[[#Headers],[PMT NO]])&gt;ScheduledNumberOfPayments,"",ROW()-ROW(PaymentSchedule45[[#Headers],[PMT NO]])),"")</f>
        <v>159</v>
      </c>
      <c r="C174" s="31">
        <f>IF(PaymentSchedule45[[#This Row],[PMT NO]]&lt;&gt;"",EOMONTH(LoanStartDate,ROW(PaymentSchedule45[[#This Row],[PMT NO]])-ROW(PaymentSchedule45[[#Headers],[PMT NO]])-2)+DAY(LoanStartDate),"")</f>
        <v>48183</v>
      </c>
      <c r="D174" s="32">
        <f>IF(PaymentSchedule45[[#This Row],[PMT NO]]&lt;&gt;"",IF(ROW()-ROW(PaymentSchedule45[[#Headers],[BEGINNING BALANCE]])=1,LoanAmount,INDEX(PaymentSchedule45[ENDING BALANCE],ROW()-ROW(PaymentSchedule45[[#Headers],[BEGINNING BALANCE]])-1)),"")</f>
        <v>127828.0922957268</v>
      </c>
      <c r="E174" s="32">
        <f>IF(PaymentSchedule45[[#This Row],[PMT NO]]&lt;&gt;"",ScheduledPayment,"")</f>
        <v>1294.2429434851008</v>
      </c>
      <c r="F17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7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74" s="32">
        <f>IF(PaymentSchedule45[[#This Row],[PMT NO]]&lt;&gt;"",PaymentSchedule45[[#This Row],[TOTAL PAYMENT]]-PaymentSchedule45[[#This Row],[INTEREST]],"")</f>
        <v>250.31352306999838</v>
      </c>
      <c r="I174" s="32">
        <f>IF(PaymentSchedule45[[#This Row],[PMT NO]]&lt;&gt;"",PaymentSchedule45[[#This Row],[BEGINNING BALANCE]]*(InterestRate/PaymentsPerYear),"")</f>
        <v>1043.9294204151024</v>
      </c>
      <c r="J17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127577.77877265681</v>
      </c>
      <c r="K174" s="32">
        <f>IF(PaymentSchedule45[[#This Row],[PMT NO]]&lt;&gt;"",SUM(INDEX(PaymentSchedule45[INTEREST],1,1):PaymentSchedule45[[#This Row],[INTEREST]]),"")</f>
        <v>183362.40678678773</v>
      </c>
    </row>
    <row r="175" spans="2:11" x14ac:dyDescent="0.3">
      <c r="B175" s="30">
        <f>IF(LoanIsGood,IF(ROW()-ROW(PaymentSchedule45[[#Headers],[PMT NO]])&gt;ScheduledNumberOfPayments,"",ROW()-ROW(PaymentSchedule45[[#Headers],[PMT NO]])),"")</f>
        <v>160</v>
      </c>
      <c r="C175" s="31">
        <f>IF(PaymentSchedule45[[#This Row],[PMT NO]]&lt;&gt;"",EOMONTH(LoanStartDate,ROW(PaymentSchedule45[[#This Row],[PMT NO]])-ROW(PaymentSchedule45[[#Headers],[PMT NO]])-2)+DAY(LoanStartDate),"")</f>
        <v>48214</v>
      </c>
      <c r="D175" s="32">
        <f>IF(PaymentSchedule45[[#This Row],[PMT NO]]&lt;&gt;"",IF(ROW()-ROW(PaymentSchedule45[[#Headers],[BEGINNING BALANCE]])=1,LoanAmount,INDEX(PaymentSchedule45[ENDING BALANCE],ROW()-ROW(PaymentSchedule45[[#Headers],[BEGINNING BALANCE]])-1)),"")</f>
        <v>127577.77877265681</v>
      </c>
      <c r="E175" s="32">
        <f>IF(PaymentSchedule45[[#This Row],[PMT NO]]&lt;&gt;"",ScheduledPayment,"")</f>
        <v>1294.2429434851008</v>
      </c>
      <c r="F17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7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75" s="32">
        <f>IF(PaymentSchedule45[[#This Row],[PMT NO]]&lt;&gt;"",PaymentSchedule45[[#This Row],[TOTAL PAYMENT]]-PaymentSchedule45[[#This Row],[INTEREST]],"")</f>
        <v>252.35775017507012</v>
      </c>
      <c r="I175" s="32">
        <f>IF(PaymentSchedule45[[#This Row],[PMT NO]]&lt;&gt;"",PaymentSchedule45[[#This Row],[BEGINNING BALANCE]]*(InterestRate/PaymentsPerYear),"")</f>
        <v>1041.8851933100307</v>
      </c>
      <c r="J17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127325.42102248174</v>
      </c>
      <c r="K175" s="32">
        <f>IF(PaymentSchedule45[[#This Row],[PMT NO]]&lt;&gt;"",SUM(INDEX(PaymentSchedule45[INTEREST],1,1):PaymentSchedule45[[#This Row],[INTEREST]]),"")</f>
        <v>184404.29198009777</v>
      </c>
    </row>
    <row r="176" spans="2:11" x14ac:dyDescent="0.3">
      <c r="B176" s="30">
        <f>IF(LoanIsGood,IF(ROW()-ROW(PaymentSchedule45[[#Headers],[PMT NO]])&gt;ScheduledNumberOfPayments,"",ROW()-ROW(PaymentSchedule45[[#Headers],[PMT NO]])),"")</f>
        <v>161</v>
      </c>
      <c r="C176" s="31">
        <f>IF(PaymentSchedule45[[#This Row],[PMT NO]]&lt;&gt;"",EOMONTH(LoanStartDate,ROW(PaymentSchedule45[[#This Row],[PMT NO]])-ROW(PaymentSchedule45[[#Headers],[PMT NO]])-2)+DAY(LoanStartDate),"")</f>
        <v>48245</v>
      </c>
      <c r="D176" s="32">
        <f>IF(PaymentSchedule45[[#This Row],[PMT NO]]&lt;&gt;"",IF(ROW()-ROW(PaymentSchedule45[[#Headers],[BEGINNING BALANCE]])=1,LoanAmount,INDEX(PaymentSchedule45[ENDING BALANCE],ROW()-ROW(PaymentSchedule45[[#Headers],[BEGINNING BALANCE]])-1)),"")</f>
        <v>127325.42102248174</v>
      </c>
      <c r="E176" s="32">
        <f>IF(PaymentSchedule45[[#This Row],[PMT NO]]&lt;&gt;"",ScheduledPayment,"")</f>
        <v>1294.2429434851008</v>
      </c>
      <c r="F17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7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76" s="32">
        <f>IF(PaymentSchedule45[[#This Row],[PMT NO]]&lt;&gt;"",PaymentSchedule45[[#This Row],[TOTAL PAYMENT]]-PaymentSchedule45[[#This Row],[INTEREST]],"")</f>
        <v>254.41867180149984</v>
      </c>
      <c r="I176" s="32">
        <f>IF(PaymentSchedule45[[#This Row],[PMT NO]]&lt;&gt;"",PaymentSchedule45[[#This Row],[BEGINNING BALANCE]]*(InterestRate/PaymentsPerYear),"")</f>
        <v>1039.824271683601</v>
      </c>
      <c r="J17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127071.00235068024</v>
      </c>
      <c r="K176" s="32">
        <f>IF(PaymentSchedule45[[#This Row],[PMT NO]]&lt;&gt;"",SUM(INDEX(PaymentSchedule45[INTEREST],1,1):PaymentSchedule45[[#This Row],[INTEREST]]),"")</f>
        <v>185444.11625178138</v>
      </c>
    </row>
    <row r="177" spans="2:11" x14ac:dyDescent="0.3">
      <c r="B177" s="30">
        <f>IF(LoanIsGood,IF(ROW()-ROW(PaymentSchedule45[[#Headers],[PMT NO]])&gt;ScheduledNumberOfPayments,"",ROW()-ROW(PaymentSchedule45[[#Headers],[PMT NO]])),"")</f>
        <v>162</v>
      </c>
      <c r="C177" s="31">
        <f>IF(PaymentSchedule45[[#This Row],[PMT NO]]&lt;&gt;"",EOMONTH(LoanStartDate,ROW(PaymentSchedule45[[#This Row],[PMT NO]])-ROW(PaymentSchedule45[[#Headers],[PMT NO]])-2)+DAY(LoanStartDate),"")</f>
        <v>48274</v>
      </c>
      <c r="D177" s="32">
        <f>IF(PaymentSchedule45[[#This Row],[PMT NO]]&lt;&gt;"",IF(ROW()-ROW(PaymentSchedule45[[#Headers],[BEGINNING BALANCE]])=1,LoanAmount,INDEX(PaymentSchedule45[ENDING BALANCE],ROW()-ROW(PaymentSchedule45[[#Headers],[BEGINNING BALANCE]])-1)),"")</f>
        <v>127071.00235068024</v>
      </c>
      <c r="E177" s="32">
        <f>IF(PaymentSchedule45[[#This Row],[PMT NO]]&lt;&gt;"",ScheduledPayment,"")</f>
        <v>1294.2429434851008</v>
      </c>
      <c r="F17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7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77" s="32">
        <f>IF(PaymentSchedule45[[#This Row],[PMT NO]]&lt;&gt;"",PaymentSchedule45[[#This Row],[TOTAL PAYMENT]]-PaymentSchedule45[[#This Row],[INTEREST]],"")</f>
        <v>256.49642428787865</v>
      </c>
      <c r="I177" s="32">
        <f>IF(PaymentSchedule45[[#This Row],[PMT NO]]&lt;&gt;"",PaymentSchedule45[[#This Row],[BEGINNING BALANCE]]*(InterestRate/PaymentsPerYear),"")</f>
        <v>1037.7465191972221</v>
      </c>
      <c r="J17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126814.50592639236</v>
      </c>
      <c r="K177" s="32">
        <f>IF(PaymentSchedule45[[#This Row],[PMT NO]]&lt;&gt;"",SUM(INDEX(PaymentSchedule45[INTEREST],1,1):PaymentSchedule45[[#This Row],[INTEREST]]),"")</f>
        <v>186481.86277097859</v>
      </c>
    </row>
    <row r="178" spans="2:11" x14ac:dyDescent="0.3">
      <c r="B178" s="30">
        <f>IF(LoanIsGood,IF(ROW()-ROW(PaymentSchedule45[[#Headers],[PMT NO]])&gt;ScheduledNumberOfPayments,"",ROW()-ROW(PaymentSchedule45[[#Headers],[PMT NO]])),"")</f>
        <v>163</v>
      </c>
      <c r="C178" s="31">
        <f>IF(PaymentSchedule45[[#This Row],[PMT NO]]&lt;&gt;"",EOMONTH(LoanStartDate,ROW(PaymentSchedule45[[#This Row],[PMT NO]])-ROW(PaymentSchedule45[[#Headers],[PMT NO]])-2)+DAY(LoanStartDate),"")</f>
        <v>48305</v>
      </c>
      <c r="D178" s="32">
        <f>IF(PaymentSchedule45[[#This Row],[PMT NO]]&lt;&gt;"",IF(ROW()-ROW(PaymentSchedule45[[#Headers],[BEGINNING BALANCE]])=1,LoanAmount,INDEX(PaymentSchedule45[ENDING BALANCE],ROW()-ROW(PaymentSchedule45[[#Headers],[BEGINNING BALANCE]])-1)),"")</f>
        <v>126814.50592639236</v>
      </c>
      <c r="E178" s="32">
        <f>IF(PaymentSchedule45[[#This Row],[PMT NO]]&lt;&gt;"",ScheduledPayment,"")</f>
        <v>1294.2429434851008</v>
      </c>
      <c r="F17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7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78" s="32">
        <f>IF(PaymentSchedule45[[#This Row],[PMT NO]]&lt;&gt;"",PaymentSchedule45[[#This Row],[TOTAL PAYMENT]]-PaymentSchedule45[[#This Row],[INTEREST]],"")</f>
        <v>258.59114508622974</v>
      </c>
      <c r="I178" s="32">
        <f>IF(PaymentSchedule45[[#This Row],[PMT NO]]&lt;&gt;"",PaymentSchedule45[[#This Row],[BEGINNING BALANCE]]*(InterestRate/PaymentsPerYear),"")</f>
        <v>1035.6517983988711</v>
      </c>
      <c r="J17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126555.91478130613</v>
      </c>
      <c r="K178" s="32">
        <f>IF(PaymentSchedule45[[#This Row],[PMT NO]]&lt;&gt;"",SUM(INDEX(PaymentSchedule45[INTEREST],1,1):PaymentSchedule45[[#This Row],[INTEREST]]),"")</f>
        <v>187517.51456937747</v>
      </c>
    </row>
    <row r="179" spans="2:11" x14ac:dyDescent="0.3">
      <c r="B179" s="30">
        <f>IF(LoanIsGood,IF(ROW()-ROW(PaymentSchedule45[[#Headers],[PMT NO]])&gt;ScheduledNumberOfPayments,"",ROW()-ROW(PaymentSchedule45[[#Headers],[PMT NO]])),"")</f>
        <v>164</v>
      </c>
      <c r="C179" s="31">
        <f>IF(PaymentSchedule45[[#This Row],[PMT NO]]&lt;&gt;"",EOMONTH(LoanStartDate,ROW(PaymentSchedule45[[#This Row],[PMT NO]])-ROW(PaymentSchedule45[[#Headers],[PMT NO]])-2)+DAY(LoanStartDate),"")</f>
        <v>48335</v>
      </c>
      <c r="D179" s="32">
        <f>IF(PaymentSchedule45[[#This Row],[PMT NO]]&lt;&gt;"",IF(ROW()-ROW(PaymentSchedule45[[#Headers],[BEGINNING BALANCE]])=1,LoanAmount,INDEX(PaymentSchedule45[ENDING BALANCE],ROW()-ROW(PaymentSchedule45[[#Headers],[BEGINNING BALANCE]])-1)),"")</f>
        <v>126555.91478130613</v>
      </c>
      <c r="E179" s="32">
        <f>IF(PaymentSchedule45[[#This Row],[PMT NO]]&lt;&gt;"",ScheduledPayment,"")</f>
        <v>1294.2429434851008</v>
      </c>
      <c r="F17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7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79" s="32">
        <f>IF(PaymentSchedule45[[#This Row],[PMT NO]]&lt;&gt;"",PaymentSchedule45[[#This Row],[TOTAL PAYMENT]]-PaymentSchedule45[[#This Row],[INTEREST]],"")</f>
        <v>260.70297277110058</v>
      </c>
      <c r="I179" s="32">
        <f>IF(PaymentSchedule45[[#This Row],[PMT NO]]&lt;&gt;"",PaymentSchedule45[[#This Row],[BEGINNING BALANCE]]*(InterestRate/PaymentsPerYear),"")</f>
        <v>1033.5399707140002</v>
      </c>
      <c r="J17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126295.21180853502</v>
      </c>
      <c r="K179" s="32">
        <f>IF(PaymentSchedule45[[#This Row],[PMT NO]]&lt;&gt;"",SUM(INDEX(PaymentSchedule45[INTEREST],1,1):PaymentSchedule45[[#This Row],[INTEREST]]),"")</f>
        <v>188551.05454009146</v>
      </c>
    </row>
    <row r="180" spans="2:11" x14ac:dyDescent="0.3">
      <c r="B180" s="30">
        <f>IF(LoanIsGood,IF(ROW()-ROW(PaymentSchedule45[[#Headers],[PMT NO]])&gt;ScheduledNumberOfPayments,"",ROW()-ROW(PaymentSchedule45[[#Headers],[PMT NO]])),"")</f>
        <v>165</v>
      </c>
      <c r="C180" s="31">
        <f>IF(PaymentSchedule45[[#This Row],[PMT NO]]&lt;&gt;"",EOMONTH(LoanStartDate,ROW(PaymentSchedule45[[#This Row],[PMT NO]])-ROW(PaymentSchedule45[[#Headers],[PMT NO]])-2)+DAY(LoanStartDate),"")</f>
        <v>48366</v>
      </c>
      <c r="D180" s="32">
        <f>IF(PaymentSchedule45[[#This Row],[PMT NO]]&lt;&gt;"",IF(ROW()-ROW(PaymentSchedule45[[#Headers],[BEGINNING BALANCE]])=1,LoanAmount,INDEX(PaymentSchedule45[ENDING BALANCE],ROW()-ROW(PaymentSchedule45[[#Headers],[BEGINNING BALANCE]])-1)),"")</f>
        <v>126295.21180853502</v>
      </c>
      <c r="E180" s="32">
        <f>IF(PaymentSchedule45[[#This Row],[PMT NO]]&lt;&gt;"",ScheduledPayment,"")</f>
        <v>1294.2429434851008</v>
      </c>
      <c r="F18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8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80" s="32">
        <f>IF(PaymentSchedule45[[#This Row],[PMT NO]]&lt;&gt;"",PaymentSchedule45[[#This Row],[TOTAL PAYMENT]]-PaymentSchedule45[[#This Row],[INTEREST]],"")</f>
        <v>262.83204704873128</v>
      </c>
      <c r="I180" s="32">
        <f>IF(PaymentSchedule45[[#This Row],[PMT NO]]&lt;&gt;"",PaymentSchedule45[[#This Row],[BEGINNING BALANCE]]*(InterestRate/PaymentsPerYear),"")</f>
        <v>1031.4108964363695</v>
      </c>
      <c r="J18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126032.37976148629</v>
      </c>
      <c r="K180" s="32">
        <f>IF(PaymentSchedule45[[#This Row],[PMT NO]]&lt;&gt;"",SUM(INDEX(PaymentSchedule45[INTEREST],1,1):PaymentSchedule45[[#This Row],[INTEREST]]),"")</f>
        <v>189582.46543652783</v>
      </c>
    </row>
    <row r="181" spans="2:11" x14ac:dyDescent="0.3">
      <c r="B181" s="30">
        <f>IF(LoanIsGood,IF(ROW()-ROW(PaymentSchedule45[[#Headers],[PMT NO]])&gt;ScheduledNumberOfPayments,"",ROW()-ROW(PaymentSchedule45[[#Headers],[PMT NO]])),"")</f>
        <v>166</v>
      </c>
      <c r="C181" s="31">
        <f>IF(PaymentSchedule45[[#This Row],[PMT NO]]&lt;&gt;"",EOMONTH(LoanStartDate,ROW(PaymentSchedule45[[#This Row],[PMT NO]])-ROW(PaymentSchedule45[[#Headers],[PMT NO]])-2)+DAY(LoanStartDate),"")</f>
        <v>48396</v>
      </c>
      <c r="D181" s="32">
        <f>IF(PaymentSchedule45[[#This Row],[PMT NO]]&lt;&gt;"",IF(ROW()-ROW(PaymentSchedule45[[#Headers],[BEGINNING BALANCE]])=1,LoanAmount,INDEX(PaymentSchedule45[ENDING BALANCE],ROW()-ROW(PaymentSchedule45[[#Headers],[BEGINNING BALANCE]])-1)),"")</f>
        <v>126032.37976148629</v>
      </c>
      <c r="E181" s="32">
        <f>IF(PaymentSchedule45[[#This Row],[PMT NO]]&lt;&gt;"",ScheduledPayment,"")</f>
        <v>1294.2429434851008</v>
      </c>
      <c r="F18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8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81" s="32">
        <f>IF(PaymentSchedule45[[#This Row],[PMT NO]]&lt;&gt;"",PaymentSchedule45[[#This Row],[TOTAL PAYMENT]]-PaymentSchedule45[[#This Row],[INTEREST]],"")</f>
        <v>264.97850876629604</v>
      </c>
      <c r="I181" s="32">
        <f>IF(PaymentSchedule45[[#This Row],[PMT NO]]&lt;&gt;"",PaymentSchedule45[[#This Row],[BEGINNING BALANCE]]*(InterestRate/PaymentsPerYear),"")</f>
        <v>1029.2644347188048</v>
      </c>
      <c r="J18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125767.40125272</v>
      </c>
      <c r="K181" s="32">
        <f>IF(PaymentSchedule45[[#This Row],[PMT NO]]&lt;&gt;"",SUM(INDEX(PaymentSchedule45[INTEREST],1,1):PaymentSchedule45[[#This Row],[INTEREST]]),"")</f>
        <v>190611.72987124664</v>
      </c>
    </row>
    <row r="182" spans="2:11" x14ac:dyDescent="0.3">
      <c r="B182" s="30">
        <f>IF(LoanIsGood,IF(ROW()-ROW(PaymentSchedule45[[#Headers],[PMT NO]])&gt;ScheduledNumberOfPayments,"",ROW()-ROW(PaymentSchedule45[[#Headers],[PMT NO]])),"")</f>
        <v>167</v>
      </c>
      <c r="C182" s="31">
        <f>IF(PaymentSchedule45[[#This Row],[PMT NO]]&lt;&gt;"",EOMONTH(LoanStartDate,ROW(PaymentSchedule45[[#This Row],[PMT NO]])-ROW(PaymentSchedule45[[#Headers],[PMT NO]])-2)+DAY(LoanStartDate),"")</f>
        <v>48427</v>
      </c>
      <c r="D182" s="32">
        <f>IF(PaymentSchedule45[[#This Row],[PMT NO]]&lt;&gt;"",IF(ROW()-ROW(PaymentSchedule45[[#Headers],[BEGINNING BALANCE]])=1,LoanAmount,INDEX(PaymentSchedule45[ENDING BALANCE],ROW()-ROW(PaymentSchedule45[[#Headers],[BEGINNING BALANCE]])-1)),"")</f>
        <v>125767.40125272</v>
      </c>
      <c r="E182" s="32">
        <f>IF(PaymentSchedule45[[#This Row],[PMT NO]]&lt;&gt;"",ScheduledPayment,"")</f>
        <v>1294.2429434851008</v>
      </c>
      <c r="F18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8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82" s="32">
        <f>IF(PaymentSchedule45[[#This Row],[PMT NO]]&lt;&gt;"",PaymentSchedule45[[#This Row],[TOTAL PAYMENT]]-PaymentSchedule45[[#This Row],[INTEREST]],"")</f>
        <v>267.14249992122063</v>
      </c>
      <c r="I182" s="32">
        <f>IF(PaymentSchedule45[[#This Row],[PMT NO]]&lt;&gt;"",PaymentSchedule45[[#This Row],[BEGINNING BALANCE]]*(InterestRate/PaymentsPerYear),"")</f>
        <v>1027.1004435638802</v>
      </c>
      <c r="J18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125500.25875279878</v>
      </c>
      <c r="K182" s="32">
        <f>IF(PaymentSchedule45[[#This Row],[PMT NO]]&lt;&gt;"",SUM(INDEX(PaymentSchedule45[INTEREST],1,1):PaymentSchedule45[[#This Row],[INTEREST]]),"")</f>
        <v>191638.83031481053</v>
      </c>
    </row>
    <row r="183" spans="2:11" x14ac:dyDescent="0.3">
      <c r="B183" s="30">
        <f>IF(LoanIsGood,IF(ROW()-ROW(PaymentSchedule45[[#Headers],[PMT NO]])&gt;ScheduledNumberOfPayments,"",ROW()-ROW(PaymentSchedule45[[#Headers],[PMT NO]])),"")</f>
        <v>168</v>
      </c>
      <c r="C183" s="31">
        <f>IF(PaymentSchedule45[[#This Row],[PMT NO]]&lt;&gt;"",EOMONTH(LoanStartDate,ROW(PaymentSchedule45[[#This Row],[PMT NO]])-ROW(PaymentSchedule45[[#Headers],[PMT NO]])-2)+DAY(LoanStartDate),"")</f>
        <v>48458</v>
      </c>
      <c r="D183" s="32">
        <f>IF(PaymentSchedule45[[#This Row],[PMT NO]]&lt;&gt;"",IF(ROW()-ROW(PaymentSchedule45[[#Headers],[BEGINNING BALANCE]])=1,LoanAmount,INDEX(PaymentSchedule45[ENDING BALANCE],ROW()-ROW(PaymentSchedule45[[#Headers],[BEGINNING BALANCE]])-1)),"")</f>
        <v>125500.25875279878</v>
      </c>
      <c r="E183" s="32">
        <f>IF(PaymentSchedule45[[#This Row],[PMT NO]]&lt;&gt;"",ScheduledPayment,"")</f>
        <v>1294.2429434851008</v>
      </c>
      <c r="F18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8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83" s="32">
        <f>IF(PaymentSchedule45[[#This Row],[PMT NO]]&lt;&gt;"",PaymentSchedule45[[#This Row],[TOTAL PAYMENT]]-PaymentSchedule45[[#This Row],[INTEREST]],"")</f>
        <v>269.32416367057726</v>
      </c>
      <c r="I183" s="32">
        <f>IF(PaymentSchedule45[[#This Row],[PMT NO]]&lt;&gt;"",PaymentSchedule45[[#This Row],[BEGINNING BALANCE]]*(InterestRate/PaymentsPerYear),"")</f>
        <v>1024.9187798145235</v>
      </c>
      <c r="J18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125230.9345891282</v>
      </c>
      <c r="K183" s="32">
        <f>IF(PaymentSchedule45[[#This Row],[PMT NO]]&lt;&gt;"",SUM(INDEX(PaymentSchedule45[INTEREST],1,1):PaymentSchedule45[[#This Row],[INTEREST]]),"")</f>
        <v>192663.74909462506</v>
      </c>
    </row>
    <row r="184" spans="2:11" x14ac:dyDescent="0.3">
      <c r="B184" s="30">
        <f>IF(LoanIsGood,IF(ROW()-ROW(PaymentSchedule45[[#Headers],[PMT NO]])&gt;ScheduledNumberOfPayments,"",ROW()-ROW(PaymentSchedule45[[#Headers],[PMT NO]])),"")</f>
        <v>169</v>
      </c>
      <c r="C184" s="31">
        <f>IF(PaymentSchedule45[[#This Row],[PMT NO]]&lt;&gt;"",EOMONTH(LoanStartDate,ROW(PaymentSchedule45[[#This Row],[PMT NO]])-ROW(PaymentSchedule45[[#Headers],[PMT NO]])-2)+DAY(LoanStartDate),"")</f>
        <v>48488</v>
      </c>
      <c r="D184" s="32">
        <f>IF(PaymentSchedule45[[#This Row],[PMT NO]]&lt;&gt;"",IF(ROW()-ROW(PaymentSchedule45[[#Headers],[BEGINNING BALANCE]])=1,LoanAmount,INDEX(PaymentSchedule45[ENDING BALANCE],ROW()-ROW(PaymentSchedule45[[#Headers],[BEGINNING BALANCE]])-1)),"")</f>
        <v>125230.9345891282</v>
      </c>
      <c r="E184" s="32">
        <f>IF(PaymentSchedule45[[#This Row],[PMT NO]]&lt;&gt;"",ScheduledPayment,"")</f>
        <v>1294.2429434851008</v>
      </c>
      <c r="F18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8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84" s="32">
        <f>IF(PaymentSchedule45[[#This Row],[PMT NO]]&lt;&gt;"",PaymentSchedule45[[#This Row],[TOTAL PAYMENT]]-PaymentSchedule45[[#This Row],[INTEREST]],"")</f>
        <v>271.52364434055369</v>
      </c>
      <c r="I184" s="32">
        <f>IF(PaymentSchedule45[[#This Row],[PMT NO]]&lt;&gt;"",PaymentSchedule45[[#This Row],[BEGINNING BALANCE]]*(InterestRate/PaymentsPerYear),"")</f>
        <v>1022.7192991445471</v>
      </c>
      <c r="J18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124959.41094478764</v>
      </c>
      <c r="K184" s="32">
        <f>IF(PaymentSchedule45[[#This Row],[PMT NO]]&lt;&gt;"",SUM(INDEX(PaymentSchedule45[INTEREST],1,1):PaymentSchedule45[[#This Row],[INTEREST]]),"")</f>
        <v>193686.46839376961</v>
      </c>
    </row>
    <row r="185" spans="2:11" x14ac:dyDescent="0.3">
      <c r="B185" s="30">
        <f>IF(LoanIsGood,IF(ROW()-ROW(PaymentSchedule45[[#Headers],[PMT NO]])&gt;ScheduledNumberOfPayments,"",ROW()-ROW(PaymentSchedule45[[#Headers],[PMT NO]])),"")</f>
        <v>170</v>
      </c>
      <c r="C185" s="31">
        <f>IF(PaymentSchedule45[[#This Row],[PMT NO]]&lt;&gt;"",EOMONTH(LoanStartDate,ROW(PaymentSchedule45[[#This Row],[PMT NO]])-ROW(PaymentSchedule45[[#Headers],[PMT NO]])-2)+DAY(LoanStartDate),"")</f>
        <v>48519</v>
      </c>
      <c r="D185" s="32">
        <f>IF(PaymentSchedule45[[#This Row],[PMT NO]]&lt;&gt;"",IF(ROW()-ROW(PaymentSchedule45[[#Headers],[BEGINNING BALANCE]])=1,LoanAmount,INDEX(PaymentSchedule45[ENDING BALANCE],ROW()-ROW(PaymentSchedule45[[#Headers],[BEGINNING BALANCE]])-1)),"")</f>
        <v>124959.41094478764</v>
      </c>
      <c r="E185" s="32">
        <f>IF(PaymentSchedule45[[#This Row],[PMT NO]]&lt;&gt;"",ScheduledPayment,"")</f>
        <v>1294.2429434851008</v>
      </c>
      <c r="F18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8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85" s="32">
        <f>IF(PaymentSchedule45[[#This Row],[PMT NO]]&lt;&gt;"",PaymentSchedule45[[#This Row],[TOTAL PAYMENT]]-PaymentSchedule45[[#This Row],[INTEREST]],"")</f>
        <v>273.74108743600164</v>
      </c>
      <c r="I185" s="32">
        <f>IF(PaymentSchedule45[[#This Row],[PMT NO]]&lt;&gt;"",PaymentSchedule45[[#This Row],[BEGINNING BALANCE]]*(InterestRate/PaymentsPerYear),"")</f>
        <v>1020.5018560490992</v>
      </c>
      <c r="J18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124685.66985735163</v>
      </c>
      <c r="K185" s="32">
        <f>IF(PaymentSchedule45[[#This Row],[PMT NO]]&lt;&gt;"",SUM(INDEX(PaymentSchedule45[INTEREST],1,1):PaymentSchedule45[[#This Row],[INTEREST]]),"")</f>
        <v>194706.9702498187</v>
      </c>
    </row>
    <row r="186" spans="2:11" x14ac:dyDescent="0.3">
      <c r="B186" s="30">
        <f>IF(LoanIsGood,IF(ROW()-ROW(PaymentSchedule45[[#Headers],[PMT NO]])&gt;ScheduledNumberOfPayments,"",ROW()-ROW(PaymentSchedule45[[#Headers],[PMT NO]])),"")</f>
        <v>171</v>
      </c>
      <c r="C186" s="31">
        <f>IF(PaymentSchedule45[[#This Row],[PMT NO]]&lt;&gt;"",EOMONTH(LoanStartDate,ROW(PaymentSchedule45[[#This Row],[PMT NO]])-ROW(PaymentSchedule45[[#Headers],[PMT NO]])-2)+DAY(LoanStartDate),"")</f>
        <v>48549</v>
      </c>
      <c r="D186" s="32">
        <f>IF(PaymentSchedule45[[#This Row],[PMT NO]]&lt;&gt;"",IF(ROW()-ROW(PaymentSchedule45[[#Headers],[BEGINNING BALANCE]])=1,LoanAmount,INDEX(PaymentSchedule45[ENDING BALANCE],ROW()-ROW(PaymentSchedule45[[#Headers],[BEGINNING BALANCE]])-1)),"")</f>
        <v>124685.66985735163</v>
      </c>
      <c r="E186" s="32">
        <f>IF(PaymentSchedule45[[#This Row],[PMT NO]]&lt;&gt;"",ScheduledPayment,"")</f>
        <v>1294.2429434851008</v>
      </c>
      <c r="F18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8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86" s="32">
        <f>IF(PaymentSchedule45[[#This Row],[PMT NO]]&lt;&gt;"",PaymentSchedule45[[#This Row],[TOTAL PAYMENT]]-PaymentSchedule45[[#This Row],[INTEREST]],"")</f>
        <v>275.97663965006234</v>
      </c>
      <c r="I186" s="32">
        <f>IF(PaymentSchedule45[[#This Row],[PMT NO]]&lt;&gt;"",PaymentSchedule45[[#This Row],[BEGINNING BALANCE]]*(InterestRate/PaymentsPerYear),"")</f>
        <v>1018.2663038350385</v>
      </c>
      <c r="J18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124409.69321770157</v>
      </c>
      <c r="K186" s="32">
        <f>IF(PaymentSchedule45[[#This Row],[PMT NO]]&lt;&gt;"",SUM(INDEX(PaymentSchedule45[INTEREST],1,1):PaymentSchedule45[[#This Row],[INTEREST]]),"")</f>
        <v>195725.23655365373</v>
      </c>
    </row>
    <row r="187" spans="2:11" x14ac:dyDescent="0.3">
      <c r="B187" s="30">
        <f>IF(LoanIsGood,IF(ROW()-ROW(PaymentSchedule45[[#Headers],[PMT NO]])&gt;ScheduledNumberOfPayments,"",ROW()-ROW(PaymentSchedule45[[#Headers],[PMT NO]])),"")</f>
        <v>172</v>
      </c>
      <c r="C187" s="31">
        <f>IF(PaymentSchedule45[[#This Row],[PMT NO]]&lt;&gt;"",EOMONTH(LoanStartDate,ROW(PaymentSchedule45[[#This Row],[PMT NO]])-ROW(PaymentSchedule45[[#Headers],[PMT NO]])-2)+DAY(LoanStartDate),"")</f>
        <v>48580</v>
      </c>
      <c r="D187" s="32">
        <f>IF(PaymentSchedule45[[#This Row],[PMT NO]]&lt;&gt;"",IF(ROW()-ROW(PaymentSchedule45[[#Headers],[BEGINNING BALANCE]])=1,LoanAmount,INDEX(PaymentSchedule45[ENDING BALANCE],ROW()-ROW(PaymentSchedule45[[#Headers],[BEGINNING BALANCE]])-1)),"")</f>
        <v>124409.69321770157</v>
      </c>
      <c r="E187" s="32">
        <f>IF(PaymentSchedule45[[#This Row],[PMT NO]]&lt;&gt;"",ScheduledPayment,"")</f>
        <v>1294.2429434851008</v>
      </c>
      <c r="F18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8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87" s="32">
        <f>IF(PaymentSchedule45[[#This Row],[PMT NO]]&lt;&gt;"",PaymentSchedule45[[#This Row],[TOTAL PAYMENT]]-PaymentSchedule45[[#This Row],[INTEREST]],"")</f>
        <v>278.23044887387118</v>
      </c>
      <c r="I187" s="32">
        <f>IF(PaymentSchedule45[[#This Row],[PMT NO]]&lt;&gt;"",PaymentSchedule45[[#This Row],[BEGINNING BALANCE]]*(InterestRate/PaymentsPerYear),"")</f>
        <v>1016.0124946112296</v>
      </c>
      <c r="J18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124131.4627688277</v>
      </c>
      <c r="K187" s="32">
        <f>IF(PaymentSchedule45[[#This Row],[PMT NO]]&lt;&gt;"",SUM(INDEX(PaymentSchedule45[INTEREST],1,1):PaymentSchedule45[[#This Row],[INTEREST]]),"")</f>
        <v>196741.24904826496</v>
      </c>
    </row>
    <row r="188" spans="2:11" x14ac:dyDescent="0.3">
      <c r="B188" s="30">
        <f>IF(LoanIsGood,IF(ROW()-ROW(PaymentSchedule45[[#Headers],[PMT NO]])&gt;ScheduledNumberOfPayments,"",ROW()-ROW(PaymentSchedule45[[#Headers],[PMT NO]])),"")</f>
        <v>173</v>
      </c>
      <c r="C188" s="31">
        <f>IF(PaymentSchedule45[[#This Row],[PMT NO]]&lt;&gt;"",EOMONTH(LoanStartDate,ROW(PaymentSchedule45[[#This Row],[PMT NO]])-ROW(PaymentSchedule45[[#Headers],[PMT NO]])-2)+DAY(LoanStartDate),"")</f>
        <v>48611</v>
      </c>
      <c r="D188" s="32">
        <f>IF(PaymentSchedule45[[#This Row],[PMT NO]]&lt;&gt;"",IF(ROW()-ROW(PaymentSchedule45[[#Headers],[BEGINNING BALANCE]])=1,LoanAmount,INDEX(PaymentSchedule45[ENDING BALANCE],ROW()-ROW(PaymentSchedule45[[#Headers],[BEGINNING BALANCE]])-1)),"")</f>
        <v>124131.4627688277</v>
      </c>
      <c r="E188" s="32">
        <f>IF(PaymentSchedule45[[#This Row],[PMT NO]]&lt;&gt;"",ScheduledPayment,"")</f>
        <v>1294.2429434851008</v>
      </c>
      <c r="F18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8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88" s="32">
        <f>IF(PaymentSchedule45[[#This Row],[PMT NO]]&lt;&gt;"",PaymentSchedule45[[#This Row],[TOTAL PAYMENT]]-PaymentSchedule45[[#This Row],[INTEREST]],"")</f>
        <v>280.50266420634114</v>
      </c>
      <c r="I188" s="32">
        <f>IF(PaymentSchedule45[[#This Row],[PMT NO]]&lt;&gt;"",PaymentSchedule45[[#This Row],[BEGINNING BALANCE]]*(InterestRate/PaymentsPerYear),"")</f>
        <v>1013.7402792787597</v>
      </c>
      <c r="J18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123850.96010462135</v>
      </c>
      <c r="K188" s="32">
        <f>IF(PaymentSchedule45[[#This Row],[PMT NO]]&lt;&gt;"",SUM(INDEX(PaymentSchedule45[INTEREST],1,1):PaymentSchedule45[[#This Row],[INTEREST]]),"")</f>
        <v>197754.98932754371</v>
      </c>
    </row>
    <row r="189" spans="2:11" x14ac:dyDescent="0.3">
      <c r="B189" s="30">
        <f>IF(LoanIsGood,IF(ROW()-ROW(PaymentSchedule45[[#Headers],[PMT NO]])&gt;ScheduledNumberOfPayments,"",ROW()-ROW(PaymentSchedule45[[#Headers],[PMT NO]])),"")</f>
        <v>174</v>
      </c>
      <c r="C189" s="31">
        <f>IF(PaymentSchedule45[[#This Row],[PMT NO]]&lt;&gt;"",EOMONTH(LoanStartDate,ROW(PaymentSchedule45[[#This Row],[PMT NO]])-ROW(PaymentSchedule45[[#Headers],[PMT NO]])-2)+DAY(LoanStartDate),"")</f>
        <v>48639</v>
      </c>
      <c r="D189" s="32">
        <f>IF(PaymentSchedule45[[#This Row],[PMT NO]]&lt;&gt;"",IF(ROW()-ROW(PaymentSchedule45[[#Headers],[BEGINNING BALANCE]])=1,LoanAmount,INDEX(PaymentSchedule45[ENDING BALANCE],ROW()-ROW(PaymentSchedule45[[#Headers],[BEGINNING BALANCE]])-1)),"")</f>
        <v>123850.96010462135</v>
      </c>
      <c r="E189" s="32">
        <f>IF(PaymentSchedule45[[#This Row],[PMT NO]]&lt;&gt;"",ScheduledPayment,"")</f>
        <v>1294.2429434851008</v>
      </c>
      <c r="F18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8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89" s="32">
        <f>IF(PaymentSchedule45[[#This Row],[PMT NO]]&lt;&gt;"",PaymentSchedule45[[#This Row],[TOTAL PAYMENT]]-PaymentSchedule45[[#This Row],[INTEREST]],"")</f>
        <v>282.79343596402634</v>
      </c>
      <c r="I189" s="32">
        <f>IF(PaymentSchedule45[[#This Row],[PMT NO]]&lt;&gt;"",PaymentSchedule45[[#This Row],[BEGINNING BALANCE]]*(InterestRate/PaymentsPerYear),"")</f>
        <v>1011.4495075210745</v>
      </c>
      <c r="J18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123568.16666865733</v>
      </c>
      <c r="K189" s="32">
        <f>IF(PaymentSchedule45[[#This Row],[PMT NO]]&lt;&gt;"",SUM(INDEX(PaymentSchedule45[INTEREST],1,1):PaymentSchedule45[[#This Row],[INTEREST]]),"")</f>
        <v>198766.43883506479</v>
      </c>
    </row>
    <row r="190" spans="2:11" x14ac:dyDescent="0.3">
      <c r="B190" s="30">
        <f>IF(LoanIsGood,IF(ROW()-ROW(PaymentSchedule45[[#Headers],[PMT NO]])&gt;ScheduledNumberOfPayments,"",ROW()-ROW(PaymentSchedule45[[#Headers],[PMT NO]])),"")</f>
        <v>175</v>
      </c>
      <c r="C190" s="31">
        <f>IF(PaymentSchedule45[[#This Row],[PMT NO]]&lt;&gt;"",EOMONTH(LoanStartDate,ROW(PaymentSchedule45[[#This Row],[PMT NO]])-ROW(PaymentSchedule45[[#Headers],[PMT NO]])-2)+DAY(LoanStartDate),"")</f>
        <v>48670</v>
      </c>
      <c r="D190" s="32">
        <f>IF(PaymentSchedule45[[#This Row],[PMT NO]]&lt;&gt;"",IF(ROW()-ROW(PaymentSchedule45[[#Headers],[BEGINNING BALANCE]])=1,LoanAmount,INDEX(PaymentSchedule45[ENDING BALANCE],ROW()-ROW(PaymentSchedule45[[#Headers],[BEGINNING BALANCE]])-1)),"")</f>
        <v>123568.16666865733</v>
      </c>
      <c r="E190" s="32">
        <f>IF(PaymentSchedule45[[#This Row],[PMT NO]]&lt;&gt;"",ScheduledPayment,"")</f>
        <v>1294.2429434851008</v>
      </c>
      <c r="F19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9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90" s="32">
        <f>IF(PaymentSchedule45[[#This Row],[PMT NO]]&lt;&gt;"",PaymentSchedule45[[#This Row],[TOTAL PAYMENT]]-PaymentSchedule45[[#This Row],[INTEREST]],"")</f>
        <v>285.10291569106585</v>
      </c>
      <c r="I190" s="32">
        <f>IF(PaymentSchedule45[[#This Row],[PMT NO]]&lt;&gt;"",PaymentSchedule45[[#This Row],[BEGINNING BALANCE]]*(InterestRate/PaymentsPerYear),"")</f>
        <v>1009.1400277940349</v>
      </c>
      <c r="J19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123283.06375296626</v>
      </c>
      <c r="K190" s="32">
        <f>IF(PaymentSchedule45[[#This Row],[PMT NO]]&lt;&gt;"",SUM(INDEX(PaymentSchedule45[INTEREST],1,1):PaymentSchedule45[[#This Row],[INTEREST]]),"")</f>
        <v>199775.57886285882</v>
      </c>
    </row>
    <row r="191" spans="2:11" x14ac:dyDescent="0.3">
      <c r="B191" s="30">
        <f>IF(LoanIsGood,IF(ROW()-ROW(PaymentSchedule45[[#Headers],[PMT NO]])&gt;ScheduledNumberOfPayments,"",ROW()-ROW(PaymentSchedule45[[#Headers],[PMT NO]])),"")</f>
        <v>176</v>
      </c>
      <c r="C191" s="31">
        <f>IF(PaymentSchedule45[[#This Row],[PMT NO]]&lt;&gt;"",EOMONTH(LoanStartDate,ROW(PaymentSchedule45[[#This Row],[PMT NO]])-ROW(PaymentSchedule45[[#Headers],[PMT NO]])-2)+DAY(LoanStartDate),"")</f>
        <v>48700</v>
      </c>
      <c r="D191" s="32">
        <f>IF(PaymentSchedule45[[#This Row],[PMT NO]]&lt;&gt;"",IF(ROW()-ROW(PaymentSchedule45[[#Headers],[BEGINNING BALANCE]])=1,LoanAmount,INDEX(PaymentSchedule45[ENDING BALANCE],ROW()-ROW(PaymentSchedule45[[#Headers],[BEGINNING BALANCE]])-1)),"")</f>
        <v>123283.06375296626</v>
      </c>
      <c r="E191" s="32">
        <f>IF(PaymentSchedule45[[#This Row],[PMT NO]]&lt;&gt;"",ScheduledPayment,"")</f>
        <v>1294.2429434851008</v>
      </c>
      <c r="F19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9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91" s="32">
        <f>IF(PaymentSchedule45[[#This Row],[PMT NO]]&lt;&gt;"",PaymentSchedule45[[#This Row],[TOTAL PAYMENT]]-PaymentSchedule45[[#This Row],[INTEREST]],"")</f>
        <v>287.43125616920952</v>
      </c>
      <c r="I191" s="32">
        <f>IF(PaymentSchedule45[[#This Row],[PMT NO]]&lt;&gt;"",PaymentSchedule45[[#This Row],[BEGINNING BALANCE]]*(InterestRate/PaymentsPerYear),"")</f>
        <v>1006.8116873158913</v>
      </c>
      <c r="J19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122995.63249679706</v>
      </c>
      <c r="K191" s="32">
        <f>IF(PaymentSchedule45[[#This Row],[PMT NO]]&lt;&gt;"",SUM(INDEX(PaymentSchedule45[INTEREST],1,1):PaymentSchedule45[[#This Row],[INTEREST]]),"")</f>
        <v>200782.39055017472</v>
      </c>
    </row>
    <row r="192" spans="2:11" x14ac:dyDescent="0.3">
      <c r="B192" s="30">
        <f>IF(LoanIsGood,IF(ROW()-ROW(PaymentSchedule45[[#Headers],[PMT NO]])&gt;ScheduledNumberOfPayments,"",ROW()-ROW(PaymentSchedule45[[#Headers],[PMT NO]])),"")</f>
        <v>177</v>
      </c>
      <c r="C192" s="31">
        <f>IF(PaymentSchedule45[[#This Row],[PMT NO]]&lt;&gt;"",EOMONTH(LoanStartDate,ROW(PaymentSchedule45[[#This Row],[PMT NO]])-ROW(PaymentSchedule45[[#Headers],[PMT NO]])-2)+DAY(LoanStartDate),"")</f>
        <v>48731</v>
      </c>
      <c r="D192" s="32">
        <f>IF(PaymentSchedule45[[#This Row],[PMT NO]]&lt;&gt;"",IF(ROW()-ROW(PaymentSchedule45[[#Headers],[BEGINNING BALANCE]])=1,LoanAmount,INDEX(PaymentSchedule45[ENDING BALANCE],ROW()-ROW(PaymentSchedule45[[#Headers],[BEGINNING BALANCE]])-1)),"")</f>
        <v>122995.63249679706</v>
      </c>
      <c r="E192" s="32">
        <f>IF(PaymentSchedule45[[#This Row],[PMT NO]]&lt;&gt;"",ScheduledPayment,"")</f>
        <v>1294.2429434851008</v>
      </c>
      <c r="F19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9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92" s="32">
        <f>IF(PaymentSchedule45[[#This Row],[PMT NO]]&lt;&gt;"",PaymentSchedule45[[#This Row],[TOTAL PAYMENT]]-PaymentSchedule45[[#This Row],[INTEREST]],"")</f>
        <v>289.77861142792472</v>
      </c>
      <c r="I192" s="32">
        <f>IF(PaymentSchedule45[[#This Row],[PMT NO]]&lt;&gt;"",PaymentSchedule45[[#This Row],[BEGINNING BALANCE]]*(InterestRate/PaymentsPerYear),"")</f>
        <v>1004.4643320571761</v>
      </c>
      <c r="J19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122705.85388536913</v>
      </c>
      <c r="K192" s="32">
        <f>IF(PaymentSchedule45[[#This Row],[PMT NO]]&lt;&gt;"",SUM(INDEX(PaymentSchedule45[INTEREST],1,1):PaymentSchedule45[[#This Row],[INTEREST]]),"")</f>
        <v>201786.85488223188</v>
      </c>
    </row>
    <row r="193" spans="2:11" x14ac:dyDescent="0.3">
      <c r="B193" s="30">
        <f>IF(LoanIsGood,IF(ROW()-ROW(PaymentSchedule45[[#Headers],[PMT NO]])&gt;ScheduledNumberOfPayments,"",ROW()-ROW(PaymentSchedule45[[#Headers],[PMT NO]])),"")</f>
        <v>178</v>
      </c>
      <c r="C193" s="31">
        <f>IF(PaymentSchedule45[[#This Row],[PMT NO]]&lt;&gt;"",EOMONTH(LoanStartDate,ROW(PaymentSchedule45[[#This Row],[PMT NO]])-ROW(PaymentSchedule45[[#Headers],[PMT NO]])-2)+DAY(LoanStartDate),"")</f>
        <v>48761</v>
      </c>
      <c r="D193" s="32">
        <f>IF(PaymentSchedule45[[#This Row],[PMT NO]]&lt;&gt;"",IF(ROW()-ROW(PaymentSchedule45[[#Headers],[BEGINNING BALANCE]])=1,LoanAmount,INDEX(PaymentSchedule45[ENDING BALANCE],ROW()-ROW(PaymentSchedule45[[#Headers],[BEGINNING BALANCE]])-1)),"")</f>
        <v>122705.85388536913</v>
      </c>
      <c r="E193" s="32">
        <f>IF(PaymentSchedule45[[#This Row],[PMT NO]]&lt;&gt;"",ScheduledPayment,"")</f>
        <v>1294.2429434851008</v>
      </c>
      <c r="F19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9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93" s="32">
        <f>IF(PaymentSchedule45[[#This Row],[PMT NO]]&lt;&gt;"",PaymentSchedule45[[#This Row],[TOTAL PAYMENT]]-PaymentSchedule45[[#This Row],[INTEREST]],"")</f>
        <v>292.14513675458613</v>
      </c>
      <c r="I193" s="32">
        <f>IF(PaymentSchedule45[[#This Row],[PMT NO]]&lt;&gt;"",PaymentSchedule45[[#This Row],[BEGINNING BALANCE]]*(InterestRate/PaymentsPerYear),"")</f>
        <v>1002.0978067305147</v>
      </c>
      <c r="J19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122413.70874861455</v>
      </c>
      <c r="K193" s="32">
        <f>IF(PaymentSchedule45[[#This Row],[PMT NO]]&lt;&gt;"",SUM(INDEX(PaymentSchedule45[INTEREST],1,1):PaymentSchedule45[[#This Row],[INTEREST]]),"")</f>
        <v>202788.9526889624</v>
      </c>
    </row>
    <row r="194" spans="2:11" x14ac:dyDescent="0.3">
      <c r="B194" s="30">
        <f>IF(LoanIsGood,IF(ROW()-ROW(PaymentSchedule45[[#Headers],[PMT NO]])&gt;ScheduledNumberOfPayments,"",ROW()-ROW(PaymentSchedule45[[#Headers],[PMT NO]])),"")</f>
        <v>179</v>
      </c>
      <c r="C194" s="31">
        <f>IF(PaymentSchedule45[[#This Row],[PMT NO]]&lt;&gt;"",EOMONTH(LoanStartDate,ROW(PaymentSchedule45[[#This Row],[PMT NO]])-ROW(PaymentSchedule45[[#Headers],[PMT NO]])-2)+DAY(LoanStartDate),"")</f>
        <v>48792</v>
      </c>
      <c r="D194" s="32">
        <f>IF(PaymentSchedule45[[#This Row],[PMT NO]]&lt;&gt;"",IF(ROW()-ROW(PaymentSchedule45[[#Headers],[BEGINNING BALANCE]])=1,LoanAmount,INDEX(PaymentSchedule45[ENDING BALANCE],ROW()-ROW(PaymentSchedule45[[#Headers],[BEGINNING BALANCE]])-1)),"")</f>
        <v>122413.70874861455</v>
      </c>
      <c r="E194" s="32">
        <f>IF(PaymentSchedule45[[#This Row],[PMT NO]]&lt;&gt;"",ScheduledPayment,"")</f>
        <v>1294.2429434851008</v>
      </c>
      <c r="F19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9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94" s="32">
        <f>IF(PaymentSchedule45[[#This Row],[PMT NO]]&lt;&gt;"",PaymentSchedule45[[#This Row],[TOTAL PAYMENT]]-PaymentSchedule45[[#This Row],[INTEREST]],"")</f>
        <v>294.53098870474855</v>
      </c>
      <c r="I194" s="32">
        <f>IF(PaymentSchedule45[[#This Row],[PMT NO]]&lt;&gt;"",PaymentSchedule45[[#This Row],[BEGINNING BALANCE]]*(InterestRate/PaymentsPerYear),"")</f>
        <v>999.71195478035224</v>
      </c>
      <c r="J19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122119.1777599098</v>
      </c>
      <c r="K194" s="32">
        <f>IF(PaymentSchedule45[[#This Row],[PMT NO]]&lt;&gt;"",SUM(INDEX(PaymentSchedule45[INTEREST],1,1):PaymentSchedule45[[#This Row],[INTEREST]]),"")</f>
        <v>203788.66464374276</v>
      </c>
    </row>
    <row r="195" spans="2:11" x14ac:dyDescent="0.3">
      <c r="B195" s="30">
        <f>IF(LoanIsGood,IF(ROW()-ROW(PaymentSchedule45[[#Headers],[PMT NO]])&gt;ScheduledNumberOfPayments,"",ROW()-ROW(PaymentSchedule45[[#Headers],[PMT NO]])),"")</f>
        <v>180</v>
      </c>
      <c r="C195" s="31">
        <f>IF(PaymentSchedule45[[#This Row],[PMT NO]]&lt;&gt;"",EOMONTH(LoanStartDate,ROW(PaymentSchedule45[[#This Row],[PMT NO]])-ROW(PaymentSchedule45[[#Headers],[PMT NO]])-2)+DAY(LoanStartDate),"")</f>
        <v>48823</v>
      </c>
      <c r="D195" s="32">
        <f>IF(PaymentSchedule45[[#This Row],[PMT NO]]&lt;&gt;"",IF(ROW()-ROW(PaymentSchedule45[[#Headers],[BEGINNING BALANCE]])=1,LoanAmount,INDEX(PaymentSchedule45[ENDING BALANCE],ROW()-ROW(PaymentSchedule45[[#Headers],[BEGINNING BALANCE]])-1)),"")</f>
        <v>122119.1777599098</v>
      </c>
      <c r="E195" s="32">
        <f>IF(PaymentSchedule45[[#This Row],[PMT NO]]&lt;&gt;"",ScheduledPayment,"")</f>
        <v>1294.2429434851008</v>
      </c>
      <c r="F19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9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95" s="32">
        <f>IF(PaymentSchedule45[[#This Row],[PMT NO]]&lt;&gt;"",PaymentSchedule45[[#This Row],[TOTAL PAYMENT]]-PaymentSchedule45[[#This Row],[INTEREST]],"")</f>
        <v>296.93632511250405</v>
      </c>
      <c r="I195" s="32">
        <f>IF(PaymentSchedule45[[#This Row],[PMT NO]]&lt;&gt;"",PaymentSchedule45[[#This Row],[BEGINNING BALANCE]]*(InterestRate/PaymentsPerYear),"")</f>
        <v>997.30661837259674</v>
      </c>
      <c r="J19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121822.2414347973</v>
      </c>
      <c r="K195" s="32">
        <f>IF(PaymentSchedule45[[#This Row],[PMT NO]]&lt;&gt;"",SUM(INDEX(PaymentSchedule45[INTEREST],1,1):PaymentSchedule45[[#This Row],[INTEREST]]),"")</f>
        <v>204785.97126211534</v>
      </c>
    </row>
    <row r="196" spans="2:11" x14ac:dyDescent="0.3">
      <c r="B196" s="30">
        <f>IF(LoanIsGood,IF(ROW()-ROW(PaymentSchedule45[[#Headers],[PMT NO]])&gt;ScheduledNumberOfPayments,"",ROW()-ROW(PaymentSchedule45[[#Headers],[PMT NO]])),"")</f>
        <v>181</v>
      </c>
      <c r="C196" s="31">
        <f>IF(PaymentSchedule45[[#This Row],[PMT NO]]&lt;&gt;"",EOMONTH(LoanStartDate,ROW(PaymentSchedule45[[#This Row],[PMT NO]])-ROW(PaymentSchedule45[[#Headers],[PMT NO]])-2)+DAY(LoanStartDate),"")</f>
        <v>48853</v>
      </c>
      <c r="D196" s="32">
        <f>IF(PaymentSchedule45[[#This Row],[PMT NO]]&lt;&gt;"",IF(ROW()-ROW(PaymentSchedule45[[#Headers],[BEGINNING BALANCE]])=1,LoanAmount,INDEX(PaymentSchedule45[ENDING BALANCE],ROW()-ROW(PaymentSchedule45[[#Headers],[BEGINNING BALANCE]])-1)),"")</f>
        <v>121822.2414347973</v>
      </c>
      <c r="E196" s="32">
        <f>IF(PaymentSchedule45[[#This Row],[PMT NO]]&lt;&gt;"",ScheduledPayment,"")</f>
        <v>1294.2429434851008</v>
      </c>
      <c r="F19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9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96" s="32">
        <f>IF(PaymentSchedule45[[#This Row],[PMT NO]]&lt;&gt;"",PaymentSchedule45[[#This Row],[TOTAL PAYMENT]]-PaymentSchedule45[[#This Row],[INTEREST]],"")</f>
        <v>299.36130510092278</v>
      </c>
      <c r="I196" s="32">
        <f>IF(PaymentSchedule45[[#This Row],[PMT NO]]&lt;&gt;"",PaymentSchedule45[[#This Row],[BEGINNING BALANCE]]*(InterestRate/PaymentsPerYear),"")</f>
        <v>994.88163838417802</v>
      </c>
      <c r="J19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121522.88012969638</v>
      </c>
      <c r="K196" s="32">
        <f>IF(PaymentSchedule45[[#This Row],[PMT NO]]&lt;&gt;"",SUM(INDEX(PaymentSchedule45[INTEREST],1,1):PaymentSchedule45[[#This Row],[INTEREST]]),"")</f>
        <v>205780.85290049954</v>
      </c>
    </row>
    <row r="197" spans="2:11" x14ac:dyDescent="0.3">
      <c r="B197" s="30">
        <f>IF(LoanIsGood,IF(ROW()-ROW(PaymentSchedule45[[#Headers],[PMT NO]])&gt;ScheduledNumberOfPayments,"",ROW()-ROW(PaymentSchedule45[[#Headers],[PMT NO]])),"")</f>
        <v>182</v>
      </c>
      <c r="C197" s="31">
        <f>IF(PaymentSchedule45[[#This Row],[PMT NO]]&lt;&gt;"",EOMONTH(LoanStartDate,ROW(PaymentSchedule45[[#This Row],[PMT NO]])-ROW(PaymentSchedule45[[#Headers],[PMT NO]])-2)+DAY(LoanStartDate),"")</f>
        <v>48884</v>
      </c>
      <c r="D197" s="32">
        <f>IF(PaymentSchedule45[[#This Row],[PMT NO]]&lt;&gt;"",IF(ROW()-ROW(PaymentSchedule45[[#Headers],[BEGINNING BALANCE]])=1,LoanAmount,INDEX(PaymentSchedule45[ENDING BALANCE],ROW()-ROW(PaymentSchedule45[[#Headers],[BEGINNING BALANCE]])-1)),"")</f>
        <v>121522.88012969638</v>
      </c>
      <c r="E197" s="32">
        <f>IF(PaymentSchedule45[[#This Row],[PMT NO]]&lt;&gt;"",ScheduledPayment,"")</f>
        <v>1294.2429434851008</v>
      </c>
      <c r="F19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9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97" s="32">
        <f>IF(PaymentSchedule45[[#This Row],[PMT NO]]&lt;&gt;"",PaymentSchedule45[[#This Row],[TOTAL PAYMENT]]-PaymentSchedule45[[#This Row],[INTEREST]],"")</f>
        <v>301.80608909258024</v>
      </c>
      <c r="I197" s="32">
        <f>IF(PaymentSchedule45[[#This Row],[PMT NO]]&lt;&gt;"",PaymentSchedule45[[#This Row],[BEGINNING BALANCE]]*(InterestRate/PaymentsPerYear),"")</f>
        <v>992.43685439252056</v>
      </c>
      <c r="J19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121221.07404060379</v>
      </c>
      <c r="K197" s="32">
        <f>IF(PaymentSchedule45[[#This Row],[PMT NO]]&lt;&gt;"",SUM(INDEX(PaymentSchedule45[INTEREST],1,1):PaymentSchedule45[[#This Row],[INTEREST]]),"")</f>
        <v>206773.28975489206</v>
      </c>
    </row>
    <row r="198" spans="2:11" x14ac:dyDescent="0.3">
      <c r="B198" s="30">
        <f>IF(LoanIsGood,IF(ROW()-ROW(PaymentSchedule45[[#Headers],[PMT NO]])&gt;ScheduledNumberOfPayments,"",ROW()-ROW(PaymentSchedule45[[#Headers],[PMT NO]])),"")</f>
        <v>183</v>
      </c>
      <c r="C198" s="31">
        <f>IF(PaymentSchedule45[[#This Row],[PMT NO]]&lt;&gt;"",EOMONTH(LoanStartDate,ROW(PaymentSchedule45[[#This Row],[PMT NO]])-ROW(PaymentSchedule45[[#Headers],[PMT NO]])-2)+DAY(LoanStartDate),"")</f>
        <v>48914</v>
      </c>
      <c r="D198" s="32">
        <f>IF(PaymentSchedule45[[#This Row],[PMT NO]]&lt;&gt;"",IF(ROW()-ROW(PaymentSchedule45[[#Headers],[BEGINNING BALANCE]])=1,LoanAmount,INDEX(PaymentSchedule45[ENDING BALANCE],ROW()-ROW(PaymentSchedule45[[#Headers],[BEGINNING BALANCE]])-1)),"")</f>
        <v>121221.07404060379</v>
      </c>
      <c r="E198" s="32">
        <f>IF(PaymentSchedule45[[#This Row],[PMT NO]]&lt;&gt;"",ScheduledPayment,"")</f>
        <v>1294.2429434851008</v>
      </c>
      <c r="F19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9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98" s="32">
        <f>IF(PaymentSchedule45[[#This Row],[PMT NO]]&lt;&gt;"",PaymentSchedule45[[#This Row],[TOTAL PAYMENT]]-PaymentSchedule45[[#This Row],[INTEREST]],"")</f>
        <v>304.27083882016973</v>
      </c>
      <c r="I198" s="32">
        <f>IF(PaymentSchedule45[[#This Row],[PMT NO]]&lt;&gt;"",PaymentSchedule45[[#This Row],[BEGINNING BALANCE]]*(InterestRate/PaymentsPerYear),"")</f>
        <v>989.97210466493107</v>
      </c>
      <c r="J19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120916.80320178362</v>
      </c>
      <c r="K198" s="32">
        <f>IF(PaymentSchedule45[[#This Row],[PMT NO]]&lt;&gt;"",SUM(INDEX(PaymentSchedule45[INTEREST],1,1):PaymentSchedule45[[#This Row],[INTEREST]]),"")</f>
        <v>207763.26185955698</v>
      </c>
    </row>
    <row r="199" spans="2:11" x14ac:dyDescent="0.3">
      <c r="B199" s="30">
        <f>IF(LoanIsGood,IF(ROW()-ROW(PaymentSchedule45[[#Headers],[PMT NO]])&gt;ScheduledNumberOfPayments,"",ROW()-ROW(PaymentSchedule45[[#Headers],[PMT NO]])),"")</f>
        <v>184</v>
      </c>
      <c r="C199" s="31">
        <f>IF(PaymentSchedule45[[#This Row],[PMT NO]]&lt;&gt;"",EOMONTH(LoanStartDate,ROW(PaymentSchedule45[[#This Row],[PMT NO]])-ROW(PaymentSchedule45[[#Headers],[PMT NO]])-2)+DAY(LoanStartDate),"")</f>
        <v>48945</v>
      </c>
      <c r="D199" s="32">
        <f>IF(PaymentSchedule45[[#This Row],[PMT NO]]&lt;&gt;"",IF(ROW()-ROW(PaymentSchedule45[[#Headers],[BEGINNING BALANCE]])=1,LoanAmount,INDEX(PaymentSchedule45[ENDING BALANCE],ROW()-ROW(PaymentSchedule45[[#Headers],[BEGINNING BALANCE]])-1)),"")</f>
        <v>120916.80320178362</v>
      </c>
      <c r="E199" s="32">
        <f>IF(PaymentSchedule45[[#This Row],[PMT NO]]&lt;&gt;"",ScheduledPayment,"")</f>
        <v>1294.2429434851008</v>
      </c>
      <c r="F19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19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199" s="32">
        <f>IF(PaymentSchedule45[[#This Row],[PMT NO]]&lt;&gt;"",PaymentSchedule45[[#This Row],[TOTAL PAYMENT]]-PaymentSchedule45[[#This Row],[INTEREST]],"")</f>
        <v>306.75571733720108</v>
      </c>
      <c r="I199" s="32">
        <f>IF(PaymentSchedule45[[#This Row],[PMT NO]]&lt;&gt;"",PaymentSchedule45[[#This Row],[BEGINNING BALANCE]]*(InterestRate/PaymentsPerYear),"")</f>
        <v>987.48722614789972</v>
      </c>
      <c r="J19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120610.04748444642</v>
      </c>
      <c r="K199" s="32">
        <f>IF(PaymentSchedule45[[#This Row],[PMT NO]]&lt;&gt;"",SUM(INDEX(PaymentSchedule45[INTEREST],1,1):PaymentSchedule45[[#This Row],[INTEREST]]),"")</f>
        <v>208750.74908570488</v>
      </c>
    </row>
    <row r="200" spans="2:11" x14ac:dyDescent="0.3">
      <c r="B200" s="30">
        <f>IF(LoanIsGood,IF(ROW()-ROW(PaymentSchedule45[[#Headers],[PMT NO]])&gt;ScheduledNumberOfPayments,"",ROW()-ROW(PaymentSchedule45[[#Headers],[PMT NO]])),"")</f>
        <v>185</v>
      </c>
      <c r="C200" s="31">
        <f>IF(PaymentSchedule45[[#This Row],[PMT NO]]&lt;&gt;"",EOMONTH(LoanStartDate,ROW(PaymentSchedule45[[#This Row],[PMT NO]])-ROW(PaymentSchedule45[[#Headers],[PMT NO]])-2)+DAY(LoanStartDate),"")</f>
        <v>48976</v>
      </c>
      <c r="D200" s="32">
        <f>IF(PaymentSchedule45[[#This Row],[PMT NO]]&lt;&gt;"",IF(ROW()-ROW(PaymentSchedule45[[#Headers],[BEGINNING BALANCE]])=1,LoanAmount,INDEX(PaymentSchedule45[ENDING BALANCE],ROW()-ROW(PaymentSchedule45[[#Headers],[BEGINNING BALANCE]])-1)),"")</f>
        <v>120610.04748444642</v>
      </c>
      <c r="E200" s="32">
        <f>IF(PaymentSchedule45[[#This Row],[PMT NO]]&lt;&gt;"",ScheduledPayment,"")</f>
        <v>1294.2429434851008</v>
      </c>
      <c r="F20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0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00" s="32">
        <f>IF(PaymentSchedule45[[#This Row],[PMT NO]]&lt;&gt;"",PaymentSchedule45[[#This Row],[TOTAL PAYMENT]]-PaymentSchedule45[[#This Row],[INTEREST]],"")</f>
        <v>309.26088902878826</v>
      </c>
      <c r="I200" s="32">
        <f>IF(PaymentSchedule45[[#This Row],[PMT NO]]&lt;&gt;"",PaymentSchedule45[[#This Row],[BEGINNING BALANCE]]*(InterestRate/PaymentsPerYear),"")</f>
        <v>984.98205445631254</v>
      </c>
      <c r="J20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120300.78659541764</v>
      </c>
      <c r="K200" s="32">
        <f>IF(PaymentSchedule45[[#This Row],[PMT NO]]&lt;&gt;"",SUM(INDEX(PaymentSchedule45[INTEREST],1,1):PaymentSchedule45[[#This Row],[INTEREST]]),"")</f>
        <v>209735.7311401612</v>
      </c>
    </row>
    <row r="201" spans="2:11" x14ac:dyDescent="0.3">
      <c r="B201" s="30">
        <f>IF(LoanIsGood,IF(ROW()-ROW(PaymentSchedule45[[#Headers],[PMT NO]])&gt;ScheduledNumberOfPayments,"",ROW()-ROW(PaymentSchedule45[[#Headers],[PMT NO]])),"")</f>
        <v>186</v>
      </c>
      <c r="C201" s="31">
        <f>IF(PaymentSchedule45[[#This Row],[PMT NO]]&lt;&gt;"",EOMONTH(LoanStartDate,ROW(PaymentSchedule45[[#This Row],[PMT NO]])-ROW(PaymentSchedule45[[#Headers],[PMT NO]])-2)+DAY(LoanStartDate),"")</f>
        <v>49004</v>
      </c>
      <c r="D201" s="32">
        <f>IF(PaymentSchedule45[[#This Row],[PMT NO]]&lt;&gt;"",IF(ROW()-ROW(PaymentSchedule45[[#Headers],[BEGINNING BALANCE]])=1,LoanAmount,INDEX(PaymentSchedule45[ENDING BALANCE],ROW()-ROW(PaymentSchedule45[[#Headers],[BEGINNING BALANCE]])-1)),"")</f>
        <v>120300.78659541764</v>
      </c>
      <c r="E201" s="32">
        <f>IF(PaymentSchedule45[[#This Row],[PMT NO]]&lt;&gt;"",ScheduledPayment,"")</f>
        <v>1294.2429434851008</v>
      </c>
      <c r="F20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0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01" s="32">
        <f>IF(PaymentSchedule45[[#This Row],[PMT NO]]&lt;&gt;"",PaymentSchedule45[[#This Row],[TOTAL PAYMENT]]-PaymentSchedule45[[#This Row],[INTEREST]],"")</f>
        <v>311.78651962252331</v>
      </c>
      <c r="I201" s="32">
        <f>IF(PaymentSchedule45[[#This Row],[PMT NO]]&lt;&gt;"",PaymentSchedule45[[#This Row],[BEGINNING BALANCE]]*(InterestRate/PaymentsPerYear),"")</f>
        <v>982.45642386257748</v>
      </c>
      <c r="J20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119989.00007579512</v>
      </c>
      <c r="K201" s="32">
        <f>IF(PaymentSchedule45[[#This Row],[PMT NO]]&lt;&gt;"",SUM(INDEX(PaymentSchedule45[INTEREST],1,1):PaymentSchedule45[[#This Row],[INTEREST]]),"")</f>
        <v>210718.18756402377</v>
      </c>
    </row>
    <row r="202" spans="2:11" x14ac:dyDescent="0.3">
      <c r="B202" s="30">
        <f>IF(LoanIsGood,IF(ROW()-ROW(PaymentSchedule45[[#Headers],[PMT NO]])&gt;ScheduledNumberOfPayments,"",ROW()-ROW(PaymentSchedule45[[#Headers],[PMT NO]])),"")</f>
        <v>187</v>
      </c>
      <c r="C202" s="31">
        <f>IF(PaymentSchedule45[[#This Row],[PMT NO]]&lt;&gt;"",EOMONTH(LoanStartDate,ROW(PaymentSchedule45[[#This Row],[PMT NO]])-ROW(PaymentSchedule45[[#Headers],[PMT NO]])-2)+DAY(LoanStartDate),"")</f>
        <v>49035</v>
      </c>
      <c r="D202" s="32">
        <f>IF(PaymentSchedule45[[#This Row],[PMT NO]]&lt;&gt;"",IF(ROW()-ROW(PaymentSchedule45[[#Headers],[BEGINNING BALANCE]])=1,LoanAmount,INDEX(PaymentSchedule45[ENDING BALANCE],ROW()-ROW(PaymentSchedule45[[#Headers],[BEGINNING BALANCE]])-1)),"")</f>
        <v>119989.00007579512</v>
      </c>
      <c r="E202" s="32">
        <f>IF(PaymentSchedule45[[#This Row],[PMT NO]]&lt;&gt;"",ScheduledPayment,"")</f>
        <v>1294.2429434851008</v>
      </c>
      <c r="F20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0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02" s="32">
        <f>IF(PaymentSchedule45[[#This Row],[PMT NO]]&lt;&gt;"",PaymentSchedule45[[#This Row],[TOTAL PAYMENT]]-PaymentSchedule45[[#This Row],[INTEREST]],"")</f>
        <v>314.33277619944056</v>
      </c>
      <c r="I202" s="32">
        <f>IF(PaymentSchedule45[[#This Row],[PMT NO]]&lt;&gt;"",PaymentSchedule45[[#This Row],[BEGINNING BALANCE]]*(InterestRate/PaymentsPerYear),"")</f>
        <v>979.91016728566024</v>
      </c>
      <c r="J20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119674.66729959568</v>
      </c>
      <c r="K202" s="32">
        <f>IF(PaymentSchedule45[[#This Row],[PMT NO]]&lt;&gt;"",SUM(INDEX(PaymentSchedule45[INTEREST],1,1):PaymentSchedule45[[#This Row],[INTEREST]]),"")</f>
        <v>211698.09773130942</v>
      </c>
    </row>
    <row r="203" spans="2:11" x14ac:dyDescent="0.3">
      <c r="B203" s="30">
        <f>IF(LoanIsGood,IF(ROW()-ROW(PaymentSchedule45[[#Headers],[PMT NO]])&gt;ScheduledNumberOfPayments,"",ROW()-ROW(PaymentSchedule45[[#Headers],[PMT NO]])),"")</f>
        <v>188</v>
      </c>
      <c r="C203" s="31">
        <f>IF(PaymentSchedule45[[#This Row],[PMT NO]]&lt;&gt;"",EOMONTH(LoanStartDate,ROW(PaymentSchedule45[[#This Row],[PMT NO]])-ROW(PaymentSchedule45[[#Headers],[PMT NO]])-2)+DAY(LoanStartDate),"")</f>
        <v>49065</v>
      </c>
      <c r="D203" s="32">
        <f>IF(PaymentSchedule45[[#This Row],[PMT NO]]&lt;&gt;"",IF(ROW()-ROW(PaymentSchedule45[[#Headers],[BEGINNING BALANCE]])=1,LoanAmount,INDEX(PaymentSchedule45[ENDING BALANCE],ROW()-ROW(PaymentSchedule45[[#Headers],[BEGINNING BALANCE]])-1)),"")</f>
        <v>119674.66729959568</v>
      </c>
      <c r="E203" s="32">
        <f>IF(PaymentSchedule45[[#This Row],[PMT NO]]&lt;&gt;"",ScheduledPayment,"")</f>
        <v>1294.2429434851008</v>
      </c>
      <c r="F20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0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03" s="32">
        <f>IF(PaymentSchedule45[[#This Row],[PMT NO]]&lt;&gt;"",PaymentSchedule45[[#This Row],[TOTAL PAYMENT]]-PaymentSchedule45[[#This Row],[INTEREST]],"")</f>
        <v>316.8998272050693</v>
      </c>
      <c r="I203" s="32">
        <f>IF(PaymentSchedule45[[#This Row],[PMT NO]]&lt;&gt;"",PaymentSchedule45[[#This Row],[BEGINNING BALANCE]]*(InterestRate/PaymentsPerYear),"")</f>
        <v>977.3431162800315</v>
      </c>
      <c r="J20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119357.76747239061</v>
      </c>
      <c r="K203" s="32">
        <f>IF(PaymentSchedule45[[#This Row],[PMT NO]]&lt;&gt;"",SUM(INDEX(PaymentSchedule45[INTEREST],1,1):PaymentSchedule45[[#This Row],[INTEREST]]),"")</f>
        <v>212675.44084758946</v>
      </c>
    </row>
    <row r="204" spans="2:11" x14ac:dyDescent="0.3">
      <c r="B204" s="30">
        <f>IF(LoanIsGood,IF(ROW()-ROW(PaymentSchedule45[[#Headers],[PMT NO]])&gt;ScheduledNumberOfPayments,"",ROW()-ROW(PaymentSchedule45[[#Headers],[PMT NO]])),"")</f>
        <v>189</v>
      </c>
      <c r="C204" s="31">
        <f>IF(PaymentSchedule45[[#This Row],[PMT NO]]&lt;&gt;"",EOMONTH(LoanStartDate,ROW(PaymentSchedule45[[#This Row],[PMT NO]])-ROW(PaymentSchedule45[[#Headers],[PMT NO]])-2)+DAY(LoanStartDate),"")</f>
        <v>49096</v>
      </c>
      <c r="D204" s="32">
        <f>IF(PaymentSchedule45[[#This Row],[PMT NO]]&lt;&gt;"",IF(ROW()-ROW(PaymentSchedule45[[#Headers],[BEGINNING BALANCE]])=1,LoanAmount,INDEX(PaymentSchedule45[ENDING BALANCE],ROW()-ROW(PaymentSchedule45[[#Headers],[BEGINNING BALANCE]])-1)),"")</f>
        <v>119357.76747239061</v>
      </c>
      <c r="E204" s="32">
        <f>IF(PaymentSchedule45[[#This Row],[PMT NO]]&lt;&gt;"",ScheduledPayment,"")</f>
        <v>1294.2429434851008</v>
      </c>
      <c r="F20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0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04" s="32">
        <f>IF(PaymentSchedule45[[#This Row],[PMT NO]]&lt;&gt;"",PaymentSchedule45[[#This Row],[TOTAL PAYMENT]]-PaymentSchedule45[[#This Row],[INTEREST]],"")</f>
        <v>319.48784246057733</v>
      </c>
      <c r="I204" s="32">
        <f>IF(PaymentSchedule45[[#This Row],[PMT NO]]&lt;&gt;"",PaymentSchedule45[[#This Row],[BEGINNING BALANCE]]*(InterestRate/PaymentsPerYear),"")</f>
        <v>974.75510102452347</v>
      </c>
      <c r="J20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119038.27962993004</v>
      </c>
      <c r="K204" s="32">
        <f>IF(PaymentSchedule45[[#This Row],[PMT NO]]&lt;&gt;"",SUM(INDEX(PaymentSchedule45[INTEREST],1,1):PaymentSchedule45[[#This Row],[INTEREST]]),"")</f>
        <v>213650.19594861398</v>
      </c>
    </row>
    <row r="205" spans="2:11" x14ac:dyDescent="0.3">
      <c r="B205" s="30">
        <f>IF(LoanIsGood,IF(ROW()-ROW(PaymentSchedule45[[#Headers],[PMT NO]])&gt;ScheduledNumberOfPayments,"",ROW()-ROW(PaymentSchedule45[[#Headers],[PMT NO]])),"")</f>
        <v>190</v>
      </c>
      <c r="C205" s="31">
        <f>IF(PaymentSchedule45[[#This Row],[PMT NO]]&lt;&gt;"",EOMONTH(LoanStartDate,ROW(PaymentSchedule45[[#This Row],[PMT NO]])-ROW(PaymentSchedule45[[#Headers],[PMT NO]])-2)+DAY(LoanStartDate),"")</f>
        <v>49126</v>
      </c>
      <c r="D205" s="32">
        <f>IF(PaymentSchedule45[[#This Row],[PMT NO]]&lt;&gt;"",IF(ROW()-ROW(PaymentSchedule45[[#Headers],[BEGINNING BALANCE]])=1,LoanAmount,INDEX(PaymentSchedule45[ENDING BALANCE],ROW()-ROW(PaymentSchedule45[[#Headers],[BEGINNING BALANCE]])-1)),"")</f>
        <v>119038.27962993004</v>
      </c>
      <c r="E205" s="32">
        <f>IF(PaymentSchedule45[[#This Row],[PMT NO]]&lt;&gt;"",ScheduledPayment,"")</f>
        <v>1294.2429434851008</v>
      </c>
      <c r="F20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0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05" s="32">
        <f>IF(PaymentSchedule45[[#This Row],[PMT NO]]&lt;&gt;"",PaymentSchedule45[[#This Row],[TOTAL PAYMENT]]-PaymentSchedule45[[#This Row],[INTEREST]],"")</f>
        <v>322.09699317400532</v>
      </c>
      <c r="I205" s="32">
        <f>IF(PaymentSchedule45[[#This Row],[PMT NO]]&lt;&gt;"",PaymentSchedule45[[#This Row],[BEGINNING BALANCE]]*(InterestRate/PaymentsPerYear),"")</f>
        <v>972.14595031109548</v>
      </c>
      <c r="J20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118716.18263675603</v>
      </c>
      <c r="K205" s="32">
        <f>IF(PaymentSchedule45[[#This Row],[PMT NO]]&lt;&gt;"",SUM(INDEX(PaymentSchedule45[INTEREST],1,1):PaymentSchedule45[[#This Row],[INTEREST]]),"")</f>
        <v>214622.34189892508</v>
      </c>
    </row>
    <row r="206" spans="2:11" x14ac:dyDescent="0.3">
      <c r="B206" s="30">
        <f>IF(LoanIsGood,IF(ROW()-ROW(PaymentSchedule45[[#Headers],[PMT NO]])&gt;ScheduledNumberOfPayments,"",ROW()-ROW(PaymentSchedule45[[#Headers],[PMT NO]])),"")</f>
        <v>191</v>
      </c>
      <c r="C206" s="31">
        <f>IF(PaymentSchedule45[[#This Row],[PMT NO]]&lt;&gt;"",EOMONTH(LoanStartDate,ROW(PaymentSchedule45[[#This Row],[PMT NO]])-ROW(PaymentSchedule45[[#Headers],[PMT NO]])-2)+DAY(LoanStartDate),"")</f>
        <v>49157</v>
      </c>
      <c r="D206" s="32">
        <f>IF(PaymentSchedule45[[#This Row],[PMT NO]]&lt;&gt;"",IF(ROW()-ROW(PaymentSchedule45[[#Headers],[BEGINNING BALANCE]])=1,LoanAmount,INDEX(PaymentSchedule45[ENDING BALANCE],ROW()-ROW(PaymentSchedule45[[#Headers],[BEGINNING BALANCE]])-1)),"")</f>
        <v>118716.18263675603</v>
      </c>
      <c r="E206" s="32">
        <f>IF(PaymentSchedule45[[#This Row],[PMT NO]]&lt;&gt;"",ScheduledPayment,"")</f>
        <v>1294.2429434851008</v>
      </c>
      <c r="F20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0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06" s="32">
        <f>IF(PaymentSchedule45[[#This Row],[PMT NO]]&lt;&gt;"",PaymentSchedule45[[#This Row],[TOTAL PAYMENT]]-PaymentSchedule45[[#This Row],[INTEREST]],"")</f>
        <v>324.72745195159314</v>
      </c>
      <c r="I206" s="32">
        <f>IF(PaymentSchedule45[[#This Row],[PMT NO]]&lt;&gt;"",PaymentSchedule45[[#This Row],[BEGINNING BALANCE]]*(InterestRate/PaymentsPerYear),"")</f>
        <v>969.51549153350766</v>
      </c>
      <c r="J20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118391.45518480444</v>
      </c>
      <c r="K206" s="32">
        <f>IF(PaymentSchedule45[[#This Row],[PMT NO]]&lt;&gt;"",SUM(INDEX(PaymentSchedule45[INTEREST],1,1):PaymentSchedule45[[#This Row],[INTEREST]]),"")</f>
        <v>215591.85739045858</v>
      </c>
    </row>
    <row r="207" spans="2:11" x14ac:dyDescent="0.3">
      <c r="B207" s="30">
        <f>IF(LoanIsGood,IF(ROW()-ROW(PaymentSchedule45[[#Headers],[PMT NO]])&gt;ScheduledNumberOfPayments,"",ROW()-ROW(PaymentSchedule45[[#Headers],[PMT NO]])),"")</f>
        <v>192</v>
      </c>
      <c r="C207" s="31">
        <f>IF(PaymentSchedule45[[#This Row],[PMT NO]]&lt;&gt;"",EOMONTH(LoanStartDate,ROW(PaymentSchedule45[[#This Row],[PMT NO]])-ROW(PaymentSchedule45[[#Headers],[PMT NO]])-2)+DAY(LoanStartDate),"")</f>
        <v>49188</v>
      </c>
      <c r="D207" s="32">
        <f>IF(PaymentSchedule45[[#This Row],[PMT NO]]&lt;&gt;"",IF(ROW()-ROW(PaymentSchedule45[[#Headers],[BEGINNING BALANCE]])=1,LoanAmount,INDEX(PaymentSchedule45[ENDING BALANCE],ROW()-ROW(PaymentSchedule45[[#Headers],[BEGINNING BALANCE]])-1)),"")</f>
        <v>118391.45518480444</v>
      </c>
      <c r="E207" s="32">
        <f>IF(PaymentSchedule45[[#This Row],[PMT NO]]&lt;&gt;"",ScheduledPayment,"")</f>
        <v>1294.2429434851008</v>
      </c>
      <c r="F20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0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07" s="32">
        <f>IF(PaymentSchedule45[[#This Row],[PMT NO]]&lt;&gt;"",PaymentSchedule45[[#This Row],[TOTAL PAYMENT]]-PaymentSchedule45[[#This Row],[INTEREST]],"")</f>
        <v>327.37939280919784</v>
      </c>
      <c r="I207" s="32">
        <f>IF(PaymentSchedule45[[#This Row],[PMT NO]]&lt;&gt;"",PaymentSchedule45[[#This Row],[BEGINNING BALANCE]]*(InterestRate/PaymentsPerYear),"")</f>
        <v>966.86355067590296</v>
      </c>
      <c r="J20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118064.07579199524</v>
      </c>
      <c r="K207" s="32">
        <f>IF(PaymentSchedule45[[#This Row],[PMT NO]]&lt;&gt;"",SUM(INDEX(PaymentSchedule45[INTEREST],1,1):PaymentSchedule45[[#This Row],[INTEREST]]),"")</f>
        <v>216558.7209411345</v>
      </c>
    </row>
    <row r="208" spans="2:11" x14ac:dyDescent="0.3">
      <c r="B208" s="30">
        <f>IF(LoanIsGood,IF(ROW()-ROW(PaymentSchedule45[[#Headers],[PMT NO]])&gt;ScheduledNumberOfPayments,"",ROW()-ROW(PaymentSchedule45[[#Headers],[PMT NO]])),"")</f>
        <v>193</v>
      </c>
      <c r="C208" s="31">
        <f>IF(PaymentSchedule45[[#This Row],[PMT NO]]&lt;&gt;"",EOMONTH(LoanStartDate,ROW(PaymentSchedule45[[#This Row],[PMT NO]])-ROW(PaymentSchedule45[[#Headers],[PMT NO]])-2)+DAY(LoanStartDate),"")</f>
        <v>49218</v>
      </c>
      <c r="D208" s="32">
        <f>IF(PaymentSchedule45[[#This Row],[PMT NO]]&lt;&gt;"",IF(ROW()-ROW(PaymentSchedule45[[#Headers],[BEGINNING BALANCE]])=1,LoanAmount,INDEX(PaymentSchedule45[ENDING BALANCE],ROW()-ROW(PaymentSchedule45[[#Headers],[BEGINNING BALANCE]])-1)),"")</f>
        <v>118064.07579199524</v>
      </c>
      <c r="E208" s="32">
        <f>IF(PaymentSchedule45[[#This Row],[PMT NO]]&lt;&gt;"",ScheduledPayment,"")</f>
        <v>1294.2429434851008</v>
      </c>
      <c r="F20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0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08" s="32">
        <f>IF(PaymentSchedule45[[#This Row],[PMT NO]]&lt;&gt;"",PaymentSchedule45[[#This Row],[TOTAL PAYMENT]]-PaymentSchedule45[[#This Row],[INTEREST]],"")</f>
        <v>330.05299118380617</v>
      </c>
      <c r="I208" s="32">
        <f>IF(PaymentSchedule45[[#This Row],[PMT NO]]&lt;&gt;"",PaymentSchedule45[[#This Row],[BEGINNING BALANCE]]*(InterestRate/PaymentsPerYear),"")</f>
        <v>964.18995230129462</v>
      </c>
      <c r="J20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117734.02280081144</v>
      </c>
      <c r="K208" s="32">
        <f>IF(PaymentSchedule45[[#This Row],[PMT NO]]&lt;&gt;"",SUM(INDEX(PaymentSchedule45[INTEREST],1,1):PaymentSchedule45[[#This Row],[INTEREST]]),"")</f>
        <v>217522.91089343579</v>
      </c>
    </row>
    <row r="209" spans="2:11" x14ac:dyDescent="0.3">
      <c r="B209" s="30">
        <f>IF(LoanIsGood,IF(ROW()-ROW(PaymentSchedule45[[#Headers],[PMT NO]])&gt;ScheduledNumberOfPayments,"",ROW()-ROW(PaymentSchedule45[[#Headers],[PMT NO]])),"")</f>
        <v>194</v>
      </c>
      <c r="C209" s="31">
        <f>IF(PaymentSchedule45[[#This Row],[PMT NO]]&lt;&gt;"",EOMONTH(LoanStartDate,ROW(PaymentSchedule45[[#This Row],[PMT NO]])-ROW(PaymentSchedule45[[#Headers],[PMT NO]])-2)+DAY(LoanStartDate),"")</f>
        <v>49249</v>
      </c>
      <c r="D209" s="32">
        <f>IF(PaymentSchedule45[[#This Row],[PMT NO]]&lt;&gt;"",IF(ROW()-ROW(PaymentSchedule45[[#Headers],[BEGINNING BALANCE]])=1,LoanAmount,INDEX(PaymentSchedule45[ENDING BALANCE],ROW()-ROW(PaymentSchedule45[[#Headers],[BEGINNING BALANCE]])-1)),"")</f>
        <v>117734.02280081144</v>
      </c>
      <c r="E209" s="32">
        <f>IF(PaymentSchedule45[[#This Row],[PMT NO]]&lt;&gt;"",ScheduledPayment,"")</f>
        <v>1294.2429434851008</v>
      </c>
      <c r="F20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0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09" s="32">
        <f>IF(PaymentSchedule45[[#This Row],[PMT NO]]&lt;&gt;"",PaymentSchedule45[[#This Row],[TOTAL PAYMENT]]-PaymentSchedule45[[#This Row],[INTEREST]],"")</f>
        <v>332.74842394514064</v>
      </c>
      <c r="I209" s="32">
        <f>IF(PaymentSchedule45[[#This Row],[PMT NO]]&lt;&gt;"",PaymentSchedule45[[#This Row],[BEGINNING BALANCE]]*(InterestRate/PaymentsPerYear),"")</f>
        <v>961.49451953996015</v>
      </c>
      <c r="J20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117401.27437686629</v>
      </c>
      <c r="K209" s="32">
        <f>IF(PaymentSchedule45[[#This Row],[PMT NO]]&lt;&gt;"",SUM(INDEX(PaymentSchedule45[INTEREST],1,1):PaymentSchedule45[[#This Row],[INTEREST]]),"")</f>
        <v>218484.40541297576</v>
      </c>
    </row>
    <row r="210" spans="2:11" x14ac:dyDescent="0.3">
      <c r="B210" s="30">
        <f>IF(LoanIsGood,IF(ROW()-ROW(PaymentSchedule45[[#Headers],[PMT NO]])&gt;ScheduledNumberOfPayments,"",ROW()-ROW(PaymentSchedule45[[#Headers],[PMT NO]])),"")</f>
        <v>195</v>
      </c>
      <c r="C210" s="31">
        <f>IF(PaymentSchedule45[[#This Row],[PMT NO]]&lt;&gt;"",EOMONTH(LoanStartDate,ROW(PaymentSchedule45[[#This Row],[PMT NO]])-ROW(PaymentSchedule45[[#Headers],[PMT NO]])-2)+DAY(LoanStartDate),"")</f>
        <v>49279</v>
      </c>
      <c r="D210" s="32">
        <f>IF(PaymentSchedule45[[#This Row],[PMT NO]]&lt;&gt;"",IF(ROW()-ROW(PaymentSchedule45[[#Headers],[BEGINNING BALANCE]])=1,LoanAmount,INDEX(PaymentSchedule45[ENDING BALANCE],ROW()-ROW(PaymentSchedule45[[#Headers],[BEGINNING BALANCE]])-1)),"")</f>
        <v>117401.27437686629</v>
      </c>
      <c r="E210" s="32">
        <f>IF(PaymentSchedule45[[#This Row],[PMT NO]]&lt;&gt;"",ScheduledPayment,"")</f>
        <v>1294.2429434851008</v>
      </c>
      <c r="F21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1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10" s="32">
        <f>IF(PaymentSchedule45[[#This Row],[PMT NO]]&lt;&gt;"",PaymentSchedule45[[#This Row],[TOTAL PAYMENT]]-PaymentSchedule45[[#This Row],[INTEREST]],"")</f>
        <v>335.46586940735926</v>
      </c>
      <c r="I210" s="32">
        <f>IF(PaymentSchedule45[[#This Row],[PMT NO]]&lt;&gt;"",PaymentSchedule45[[#This Row],[BEGINNING BALANCE]]*(InterestRate/PaymentsPerYear),"")</f>
        <v>958.77707407774153</v>
      </c>
      <c r="J21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117065.80850745893</v>
      </c>
      <c r="K210" s="32">
        <f>IF(PaymentSchedule45[[#This Row],[PMT NO]]&lt;&gt;"",SUM(INDEX(PaymentSchedule45[INTEREST],1,1):PaymentSchedule45[[#This Row],[INTEREST]]),"")</f>
        <v>219443.18248705351</v>
      </c>
    </row>
    <row r="211" spans="2:11" x14ac:dyDescent="0.3">
      <c r="B211" s="30">
        <f>IF(LoanIsGood,IF(ROW()-ROW(PaymentSchedule45[[#Headers],[PMT NO]])&gt;ScheduledNumberOfPayments,"",ROW()-ROW(PaymentSchedule45[[#Headers],[PMT NO]])),"")</f>
        <v>196</v>
      </c>
      <c r="C211" s="31">
        <f>IF(PaymentSchedule45[[#This Row],[PMT NO]]&lt;&gt;"",EOMONTH(LoanStartDate,ROW(PaymentSchedule45[[#This Row],[PMT NO]])-ROW(PaymentSchedule45[[#Headers],[PMT NO]])-2)+DAY(LoanStartDate),"")</f>
        <v>49310</v>
      </c>
      <c r="D211" s="32">
        <f>IF(PaymentSchedule45[[#This Row],[PMT NO]]&lt;&gt;"",IF(ROW()-ROW(PaymentSchedule45[[#Headers],[BEGINNING BALANCE]])=1,LoanAmount,INDEX(PaymentSchedule45[ENDING BALANCE],ROW()-ROW(PaymentSchedule45[[#Headers],[BEGINNING BALANCE]])-1)),"")</f>
        <v>117065.80850745893</v>
      </c>
      <c r="E211" s="32">
        <f>IF(PaymentSchedule45[[#This Row],[PMT NO]]&lt;&gt;"",ScheduledPayment,"")</f>
        <v>1294.2429434851008</v>
      </c>
      <c r="F21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1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11" s="32">
        <f>IF(PaymentSchedule45[[#This Row],[PMT NO]]&lt;&gt;"",PaymentSchedule45[[#This Row],[TOTAL PAYMENT]]-PaymentSchedule45[[#This Row],[INTEREST]],"")</f>
        <v>338.20550734085271</v>
      </c>
      <c r="I211" s="32">
        <f>IF(PaymentSchedule45[[#This Row],[PMT NO]]&lt;&gt;"",PaymentSchedule45[[#This Row],[BEGINNING BALANCE]]*(InterestRate/PaymentsPerYear),"")</f>
        <v>956.03743614424809</v>
      </c>
      <c r="J21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116727.60300011808</v>
      </c>
      <c r="K211" s="32">
        <f>IF(PaymentSchedule45[[#This Row],[PMT NO]]&lt;&gt;"",SUM(INDEX(PaymentSchedule45[INTEREST],1,1):PaymentSchedule45[[#This Row],[INTEREST]]),"")</f>
        <v>220399.21992319776</v>
      </c>
    </row>
    <row r="212" spans="2:11" x14ac:dyDescent="0.3">
      <c r="B212" s="30">
        <f>IF(LoanIsGood,IF(ROW()-ROW(PaymentSchedule45[[#Headers],[PMT NO]])&gt;ScheduledNumberOfPayments,"",ROW()-ROW(PaymentSchedule45[[#Headers],[PMT NO]])),"")</f>
        <v>197</v>
      </c>
      <c r="C212" s="31">
        <f>IF(PaymentSchedule45[[#This Row],[PMT NO]]&lt;&gt;"",EOMONTH(LoanStartDate,ROW(PaymentSchedule45[[#This Row],[PMT NO]])-ROW(PaymentSchedule45[[#Headers],[PMT NO]])-2)+DAY(LoanStartDate),"")</f>
        <v>49341</v>
      </c>
      <c r="D212" s="32">
        <f>IF(PaymentSchedule45[[#This Row],[PMT NO]]&lt;&gt;"",IF(ROW()-ROW(PaymentSchedule45[[#Headers],[BEGINNING BALANCE]])=1,LoanAmount,INDEX(PaymentSchedule45[ENDING BALANCE],ROW()-ROW(PaymentSchedule45[[#Headers],[BEGINNING BALANCE]])-1)),"")</f>
        <v>116727.60300011808</v>
      </c>
      <c r="E212" s="32">
        <f>IF(PaymentSchedule45[[#This Row],[PMT NO]]&lt;&gt;"",ScheduledPayment,"")</f>
        <v>1294.2429434851008</v>
      </c>
      <c r="F21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1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12" s="32">
        <f>IF(PaymentSchedule45[[#This Row],[PMT NO]]&lt;&gt;"",PaymentSchedule45[[#This Row],[TOTAL PAYMENT]]-PaymentSchedule45[[#This Row],[INTEREST]],"")</f>
        <v>340.9675189841364</v>
      </c>
      <c r="I212" s="32">
        <f>IF(PaymentSchedule45[[#This Row],[PMT NO]]&lt;&gt;"",PaymentSchedule45[[#This Row],[BEGINNING BALANCE]]*(InterestRate/PaymentsPerYear),"")</f>
        <v>953.27542450096439</v>
      </c>
      <c r="J21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116386.63548113394</v>
      </c>
      <c r="K212" s="32">
        <f>IF(PaymentSchedule45[[#This Row],[PMT NO]]&lt;&gt;"",SUM(INDEX(PaymentSchedule45[INTEREST],1,1):PaymentSchedule45[[#This Row],[INTEREST]]),"")</f>
        <v>221352.49534769871</v>
      </c>
    </row>
    <row r="213" spans="2:11" x14ac:dyDescent="0.3">
      <c r="B213" s="30">
        <f>IF(LoanIsGood,IF(ROW()-ROW(PaymentSchedule45[[#Headers],[PMT NO]])&gt;ScheduledNumberOfPayments,"",ROW()-ROW(PaymentSchedule45[[#Headers],[PMT NO]])),"")</f>
        <v>198</v>
      </c>
      <c r="C213" s="31">
        <f>IF(PaymentSchedule45[[#This Row],[PMT NO]]&lt;&gt;"",EOMONTH(LoanStartDate,ROW(PaymentSchedule45[[#This Row],[PMT NO]])-ROW(PaymentSchedule45[[#Headers],[PMT NO]])-2)+DAY(LoanStartDate),"")</f>
        <v>49369</v>
      </c>
      <c r="D213" s="32">
        <f>IF(PaymentSchedule45[[#This Row],[PMT NO]]&lt;&gt;"",IF(ROW()-ROW(PaymentSchedule45[[#Headers],[BEGINNING BALANCE]])=1,LoanAmount,INDEX(PaymentSchedule45[ENDING BALANCE],ROW()-ROW(PaymentSchedule45[[#Headers],[BEGINNING BALANCE]])-1)),"")</f>
        <v>116386.63548113394</v>
      </c>
      <c r="E213" s="32">
        <f>IF(PaymentSchedule45[[#This Row],[PMT NO]]&lt;&gt;"",ScheduledPayment,"")</f>
        <v>1294.2429434851008</v>
      </c>
      <c r="F21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1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13" s="32">
        <f>IF(PaymentSchedule45[[#This Row],[PMT NO]]&lt;&gt;"",PaymentSchedule45[[#This Row],[TOTAL PAYMENT]]-PaymentSchedule45[[#This Row],[INTEREST]],"")</f>
        <v>343.75208705584021</v>
      </c>
      <c r="I213" s="32">
        <f>IF(PaymentSchedule45[[#This Row],[PMT NO]]&lt;&gt;"",PaymentSchedule45[[#This Row],[BEGINNING BALANCE]]*(InterestRate/PaymentsPerYear),"")</f>
        <v>950.49085642926059</v>
      </c>
      <c r="J21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116042.8833940781</v>
      </c>
      <c r="K213" s="32">
        <f>IF(PaymentSchedule45[[#This Row],[PMT NO]]&lt;&gt;"",SUM(INDEX(PaymentSchedule45[INTEREST],1,1):PaymentSchedule45[[#This Row],[INTEREST]]),"")</f>
        <v>222302.98620412798</v>
      </c>
    </row>
    <row r="214" spans="2:11" x14ac:dyDescent="0.3">
      <c r="B214" s="30">
        <f>IF(LoanIsGood,IF(ROW()-ROW(PaymentSchedule45[[#Headers],[PMT NO]])&gt;ScheduledNumberOfPayments,"",ROW()-ROW(PaymentSchedule45[[#Headers],[PMT NO]])),"")</f>
        <v>199</v>
      </c>
      <c r="C214" s="31">
        <f>IF(PaymentSchedule45[[#This Row],[PMT NO]]&lt;&gt;"",EOMONTH(LoanStartDate,ROW(PaymentSchedule45[[#This Row],[PMT NO]])-ROW(PaymentSchedule45[[#Headers],[PMT NO]])-2)+DAY(LoanStartDate),"")</f>
        <v>49400</v>
      </c>
      <c r="D214" s="32">
        <f>IF(PaymentSchedule45[[#This Row],[PMT NO]]&lt;&gt;"",IF(ROW()-ROW(PaymentSchedule45[[#Headers],[BEGINNING BALANCE]])=1,LoanAmount,INDEX(PaymentSchedule45[ENDING BALANCE],ROW()-ROW(PaymentSchedule45[[#Headers],[BEGINNING BALANCE]])-1)),"")</f>
        <v>116042.8833940781</v>
      </c>
      <c r="E214" s="32">
        <f>IF(PaymentSchedule45[[#This Row],[PMT NO]]&lt;&gt;"",ScheduledPayment,"")</f>
        <v>1294.2429434851008</v>
      </c>
      <c r="F21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1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14" s="32">
        <f>IF(PaymentSchedule45[[#This Row],[PMT NO]]&lt;&gt;"",PaymentSchedule45[[#This Row],[TOTAL PAYMENT]]-PaymentSchedule45[[#This Row],[INTEREST]],"")</f>
        <v>346.55939576679623</v>
      </c>
      <c r="I214" s="32">
        <f>IF(PaymentSchedule45[[#This Row],[PMT NO]]&lt;&gt;"",PaymentSchedule45[[#This Row],[BEGINNING BALANCE]]*(InterestRate/PaymentsPerYear),"")</f>
        <v>947.68354771830457</v>
      </c>
      <c r="J21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115696.3239983113</v>
      </c>
      <c r="K214" s="32">
        <f>IF(PaymentSchedule45[[#This Row],[PMT NO]]&lt;&gt;"",SUM(INDEX(PaymentSchedule45[INTEREST],1,1):PaymentSchedule45[[#This Row],[INTEREST]]),"")</f>
        <v>223250.66975184629</v>
      </c>
    </row>
    <row r="215" spans="2:11" x14ac:dyDescent="0.3">
      <c r="B215" s="30">
        <f>IF(LoanIsGood,IF(ROW()-ROW(PaymentSchedule45[[#Headers],[PMT NO]])&gt;ScheduledNumberOfPayments,"",ROW()-ROW(PaymentSchedule45[[#Headers],[PMT NO]])),"")</f>
        <v>200</v>
      </c>
      <c r="C215" s="31">
        <f>IF(PaymentSchedule45[[#This Row],[PMT NO]]&lt;&gt;"",EOMONTH(LoanStartDate,ROW(PaymentSchedule45[[#This Row],[PMT NO]])-ROW(PaymentSchedule45[[#Headers],[PMT NO]])-2)+DAY(LoanStartDate),"")</f>
        <v>49430</v>
      </c>
      <c r="D215" s="32">
        <f>IF(PaymentSchedule45[[#This Row],[PMT NO]]&lt;&gt;"",IF(ROW()-ROW(PaymentSchedule45[[#Headers],[BEGINNING BALANCE]])=1,LoanAmount,INDEX(PaymentSchedule45[ENDING BALANCE],ROW()-ROW(PaymentSchedule45[[#Headers],[BEGINNING BALANCE]])-1)),"")</f>
        <v>115696.3239983113</v>
      </c>
      <c r="E215" s="32">
        <f>IF(PaymentSchedule45[[#This Row],[PMT NO]]&lt;&gt;"",ScheduledPayment,"")</f>
        <v>1294.2429434851008</v>
      </c>
      <c r="F21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1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15" s="32">
        <f>IF(PaymentSchedule45[[#This Row],[PMT NO]]&lt;&gt;"",PaymentSchedule45[[#This Row],[TOTAL PAYMENT]]-PaymentSchedule45[[#This Row],[INTEREST]],"")</f>
        <v>349.38963083222507</v>
      </c>
      <c r="I215" s="32">
        <f>IF(PaymentSchedule45[[#This Row],[PMT NO]]&lt;&gt;"",PaymentSchedule45[[#This Row],[BEGINNING BALANCE]]*(InterestRate/PaymentsPerYear),"")</f>
        <v>944.85331265287573</v>
      </c>
      <c r="J21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115346.93436747907</v>
      </c>
      <c r="K215" s="32">
        <f>IF(PaymentSchedule45[[#This Row],[PMT NO]]&lt;&gt;"",SUM(INDEX(PaymentSchedule45[INTEREST],1,1):PaymentSchedule45[[#This Row],[INTEREST]]),"")</f>
        <v>224195.52306449917</v>
      </c>
    </row>
    <row r="216" spans="2:11" x14ac:dyDescent="0.3">
      <c r="B216" s="30">
        <f>IF(LoanIsGood,IF(ROW()-ROW(PaymentSchedule45[[#Headers],[PMT NO]])&gt;ScheduledNumberOfPayments,"",ROW()-ROW(PaymentSchedule45[[#Headers],[PMT NO]])),"")</f>
        <v>201</v>
      </c>
      <c r="C216" s="31">
        <f>IF(PaymentSchedule45[[#This Row],[PMT NO]]&lt;&gt;"",EOMONTH(LoanStartDate,ROW(PaymentSchedule45[[#This Row],[PMT NO]])-ROW(PaymentSchedule45[[#Headers],[PMT NO]])-2)+DAY(LoanStartDate),"")</f>
        <v>49461</v>
      </c>
      <c r="D216" s="32">
        <f>IF(PaymentSchedule45[[#This Row],[PMT NO]]&lt;&gt;"",IF(ROW()-ROW(PaymentSchedule45[[#Headers],[BEGINNING BALANCE]])=1,LoanAmount,INDEX(PaymentSchedule45[ENDING BALANCE],ROW()-ROW(PaymentSchedule45[[#Headers],[BEGINNING BALANCE]])-1)),"")</f>
        <v>115346.93436747907</v>
      </c>
      <c r="E216" s="32">
        <f>IF(PaymentSchedule45[[#This Row],[PMT NO]]&lt;&gt;"",ScheduledPayment,"")</f>
        <v>1294.2429434851008</v>
      </c>
      <c r="F21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1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16" s="32">
        <f>IF(PaymentSchedule45[[#This Row],[PMT NO]]&lt;&gt;"",PaymentSchedule45[[#This Row],[TOTAL PAYMENT]]-PaymentSchedule45[[#This Row],[INTEREST]],"")</f>
        <v>352.24297948402159</v>
      </c>
      <c r="I216" s="32">
        <f>IF(PaymentSchedule45[[#This Row],[PMT NO]]&lt;&gt;"",PaymentSchedule45[[#This Row],[BEGINNING BALANCE]]*(InterestRate/PaymentsPerYear),"")</f>
        <v>941.99996400107921</v>
      </c>
      <c r="J21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114994.69138799504</v>
      </c>
      <c r="K216" s="32">
        <f>IF(PaymentSchedule45[[#This Row],[PMT NO]]&lt;&gt;"",SUM(INDEX(PaymentSchedule45[INTEREST],1,1):PaymentSchedule45[[#This Row],[INTEREST]]),"")</f>
        <v>225137.52302850026</v>
      </c>
    </row>
    <row r="217" spans="2:11" x14ac:dyDescent="0.3">
      <c r="B217" s="30">
        <f>IF(LoanIsGood,IF(ROW()-ROW(PaymentSchedule45[[#Headers],[PMT NO]])&gt;ScheduledNumberOfPayments,"",ROW()-ROW(PaymentSchedule45[[#Headers],[PMT NO]])),"")</f>
        <v>202</v>
      </c>
      <c r="C217" s="31">
        <f>IF(PaymentSchedule45[[#This Row],[PMT NO]]&lt;&gt;"",EOMONTH(LoanStartDate,ROW(PaymentSchedule45[[#This Row],[PMT NO]])-ROW(PaymentSchedule45[[#Headers],[PMT NO]])-2)+DAY(LoanStartDate),"")</f>
        <v>49491</v>
      </c>
      <c r="D217" s="32">
        <f>IF(PaymentSchedule45[[#This Row],[PMT NO]]&lt;&gt;"",IF(ROW()-ROW(PaymentSchedule45[[#Headers],[BEGINNING BALANCE]])=1,LoanAmount,INDEX(PaymentSchedule45[ENDING BALANCE],ROW()-ROW(PaymentSchedule45[[#Headers],[BEGINNING BALANCE]])-1)),"")</f>
        <v>114994.69138799504</v>
      </c>
      <c r="E217" s="32">
        <f>IF(PaymentSchedule45[[#This Row],[PMT NO]]&lt;&gt;"",ScheduledPayment,"")</f>
        <v>1294.2429434851008</v>
      </c>
      <c r="F21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1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17" s="32">
        <f>IF(PaymentSchedule45[[#This Row],[PMT NO]]&lt;&gt;"",PaymentSchedule45[[#This Row],[TOTAL PAYMENT]]-PaymentSchedule45[[#This Row],[INTEREST]],"")</f>
        <v>355.11963048314112</v>
      </c>
      <c r="I217" s="32">
        <f>IF(PaymentSchedule45[[#This Row],[PMT NO]]&lt;&gt;"",PaymentSchedule45[[#This Row],[BEGINNING BALANCE]]*(InterestRate/PaymentsPerYear),"")</f>
        <v>939.12331300195967</v>
      </c>
      <c r="J21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114639.57175751191</v>
      </c>
      <c r="K217" s="32">
        <f>IF(PaymentSchedule45[[#This Row],[PMT NO]]&lt;&gt;"",SUM(INDEX(PaymentSchedule45[INTEREST],1,1):PaymentSchedule45[[#This Row],[INTEREST]]),"")</f>
        <v>226076.64634150223</v>
      </c>
    </row>
    <row r="218" spans="2:11" x14ac:dyDescent="0.3">
      <c r="B218" s="30">
        <f>IF(LoanIsGood,IF(ROW()-ROW(PaymentSchedule45[[#Headers],[PMT NO]])&gt;ScheduledNumberOfPayments,"",ROW()-ROW(PaymentSchedule45[[#Headers],[PMT NO]])),"")</f>
        <v>203</v>
      </c>
      <c r="C218" s="31">
        <f>IF(PaymentSchedule45[[#This Row],[PMT NO]]&lt;&gt;"",EOMONTH(LoanStartDate,ROW(PaymentSchedule45[[#This Row],[PMT NO]])-ROW(PaymentSchedule45[[#Headers],[PMT NO]])-2)+DAY(LoanStartDate),"")</f>
        <v>49522</v>
      </c>
      <c r="D218" s="32">
        <f>IF(PaymentSchedule45[[#This Row],[PMT NO]]&lt;&gt;"",IF(ROW()-ROW(PaymentSchedule45[[#Headers],[BEGINNING BALANCE]])=1,LoanAmount,INDEX(PaymentSchedule45[ENDING BALANCE],ROW()-ROW(PaymentSchedule45[[#Headers],[BEGINNING BALANCE]])-1)),"")</f>
        <v>114639.57175751191</v>
      </c>
      <c r="E218" s="32">
        <f>IF(PaymentSchedule45[[#This Row],[PMT NO]]&lt;&gt;"",ScheduledPayment,"")</f>
        <v>1294.2429434851008</v>
      </c>
      <c r="F21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1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18" s="32">
        <f>IF(PaymentSchedule45[[#This Row],[PMT NO]]&lt;&gt;"",PaymentSchedule45[[#This Row],[TOTAL PAYMENT]]-PaymentSchedule45[[#This Row],[INTEREST]],"")</f>
        <v>358.01977413208681</v>
      </c>
      <c r="I218" s="32">
        <f>IF(PaymentSchedule45[[#This Row],[PMT NO]]&lt;&gt;"",PaymentSchedule45[[#This Row],[BEGINNING BALANCE]]*(InterestRate/PaymentsPerYear),"")</f>
        <v>936.22316935301399</v>
      </c>
      <c r="J21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114281.55198337982</v>
      </c>
      <c r="K218" s="32">
        <f>IF(PaymentSchedule45[[#This Row],[PMT NO]]&lt;&gt;"",SUM(INDEX(PaymentSchedule45[INTEREST],1,1):PaymentSchedule45[[#This Row],[INTEREST]]),"")</f>
        <v>227012.86951085523</v>
      </c>
    </row>
    <row r="219" spans="2:11" x14ac:dyDescent="0.3">
      <c r="B219" s="30">
        <f>IF(LoanIsGood,IF(ROW()-ROW(PaymentSchedule45[[#Headers],[PMT NO]])&gt;ScheduledNumberOfPayments,"",ROW()-ROW(PaymentSchedule45[[#Headers],[PMT NO]])),"")</f>
        <v>204</v>
      </c>
      <c r="C219" s="31">
        <f>IF(PaymentSchedule45[[#This Row],[PMT NO]]&lt;&gt;"",EOMONTH(LoanStartDate,ROW(PaymentSchedule45[[#This Row],[PMT NO]])-ROW(PaymentSchedule45[[#Headers],[PMT NO]])-2)+DAY(LoanStartDate),"")</f>
        <v>49553</v>
      </c>
      <c r="D219" s="32">
        <f>IF(PaymentSchedule45[[#This Row],[PMT NO]]&lt;&gt;"",IF(ROW()-ROW(PaymentSchedule45[[#Headers],[BEGINNING BALANCE]])=1,LoanAmount,INDEX(PaymentSchedule45[ENDING BALANCE],ROW()-ROW(PaymentSchedule45[[#Headers],[BEGINNING BALANCE]])-1)),"")</f>
        <v>114281.55198337982</v>
      </c>
      <c r="E219" s="32">
        <f>IF(PaymentSchedule45[[#This Row],[PMT NO]]&lt;&gt;"",ScheduledPayment,"")</f>
        <v>1294.2429434851008</v>
      </c>
      <c r="F21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1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19" s="32">
        <f>IF(PaymentSchedule45[[#This Row],[PMT NO]]&lt;&gt;"",PaymentSchedule45[[#This Row],[TOTAL PAYMENT]]-PaymentSchedule45[[#This Row],[INTEREST]],"")</f>
        <v>360.94360228749883</v>
      </c>
      <c r="I219" s="32">
        <f>IF(PaymentSchedule45[[#This Row],[PMT NO]]&lt;&gt;"",PaymentSchedule45[[#This Row],[BEGINNING BALANCE]]*(InterestRate/PaymentsPerYear),"")</f>
        <v>933.29934119760196</v>
      </c>
      <c r="J21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113920.60838109232</v>
      </c>
      <c r="K219" s="32">
        <f>IF(PaymentSchedule45[[#This Row],[PMT NO]]&lt;&gt;"",SUM(INDEX(PaymentSchedule45[INTEREST],1,1):PaymentSchedule45[[#This Row],[INTEREST]]),"")</f>
        <v>227946.16885205283</v>
      </c>
    </row>
    <row r="220" spans="2:11" x14ac:dyDescent="0.3">
      <c r="B220" s="30">
        <f>IF(LoanIsGood,IF(ROW()-ROW(PaymentSchedule45[[#Headers],[PMT NO]])&gt;ScheduledNumberOfPayments,"",ROW()-ROW(PaymentSchedule45[[#Headers],[PMT NO]])),"")</f>
        <v>205</v>
      </c>
      <c r="C220" s="31">
        <f>IF(PaymentSchedule45[[#This Row],[PMT NO]]&lt;&gt;"",EOMONTH(LoanStartDate,ROW(PaymentSchedule45[[#This Row],[PMT NO]])-ROW(PaymentSchedule45[[#Headers],[PMT NO]])-2)+DAY(LoanStartDate),"")</f>
        <v>49583</v>
      </c>
      <c r="D220" s="32">
        <f>IF(PaymentSchedule45[[#This Row],[PMT NO]]&lt;&gt;"",IF(ROW()-ROW(PaymentSchedule45[[#Headers],[BEGINNING BALANCE]])=1,LoanAmount,INDEX(PaymentSchedule45[ENDING BALANCE],ROW()-ROW(PaymentSchedule45[[#Headers],[BEGINNING BALANCE]])-1)),"")</f>
        <v>113920.60838109232</v>
      </c>
      <c r="E220" s="32">
        <f>IF(PaymentSchedule45[[#This Row],[PMT NO]]&lt;&gt;"",ScheduledPayment,"")</f>
        <v>1294.2429434851008</v>
      </c>
      <c r="F22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2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20" s="32">
        <f>IF(PaymentSchedule45[[#This Row],[PMT NO]]&lt;&gt;"",PaymentSchedule45[[#This Row],[TOTAL PAYMENT]]-PaymentSchedule45[[#This Row],[INTEREST]],"")</f>
        <v>363.89130837284677</v>
      </c>
      <c r="I220" s="32">
        <f>IF(PaymentSchedule45[[#This Row],[PMT NO]]&lt;&gt;"",PaymentSchedule45[[#This Row],[BEGINNING BALANCE]]*(InterestRate/PaymentsPerYear),"")</f>
        <v>930.35163511225403</v>
      </c>
      <c r="J22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113556.71707271948</v>
      </c>
      <c r="K220" s="32">
        <f>IF(PaymentSchedule45[[#This Row],[PMT NO]]&lt;&gt;"",SUM(INDEX(PaymentSchedule45[INTEREST],1,1):PaymentSchedule45[[#This Row],[INTEREST]]),"")</f>
        <v>228876.52048716508</v>
      </c>
    </row>
    <row r="221" spans="2:11" x14ac:dyDescent="0.3">
      <c r="B221" s="30">
        <f>IF(LoanIsGood,IF(ROW()-ROW(PaymentSchedule45[[#Headers],[PMT NO]])&gt;ScheduledNumberOfPayments,"",ROW()-ROW(PaymentSchedule45[[#Headers],[PMT NO]])),"")</f>
        <v>206</v>
      </c>
      <c r="C221" s="31">
        <f>IF(PaymentSchedule45[[#This Row],[PMT NO]]&lt;&gt;"",EOMONTH(LoanStartDate,ROW(PaymentSchedule45[[#This Row],[PMT NO]])-ROW(PaymentSchedule45[[#Headers],[PMT NO]])-2)+DAY(LoanStartDate),"")</f>
        <v>49614</v>
      </c>
      <c r="D221" s="32">
        <f>IF(PaymentSchedule45[[#This Row],[PMT NO]]&lt;&gt;"",IF(ROW()-ROW(PaymentSchedule45[[#Headers],[BEGINNING BALANCE]])=1,LoanAmount,INDEX(PaymentSchedule45[ENDING BALANCE],ROW()-ROW(PaymentSchedule45[[#Headers],[BEGINNING BALANCE]])-1)),"")</f>
        <v>113556.71707271948</v>
      </c>
      <c r="E221" s="32">
        <f>IF(PaymentSchedule45[[#This Row],[PMT NO]]&lt;&gt;"",ScheduledPayment,"")</f>
        <v>1294.2429434851008</v>
      </c>
      <c r="F22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2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21" s="32">
        <f>IF(PaymentSchedule45[[#This Row],[PMT NO]]&lt;&gt;"",PaymentSchedule45[[#This Row],[TOTAL PAYMENT]]-PaymentSchedule45[[#This Row],[INTEREST]],"")</f>
        <v>366.86308739122501</v>
      </c>
      <c r="I221" s="32">
        <f>IF(PaymentSchedule45[[#This Row],[PMT NO]]&lt;&gt;"",PaymentSchedule45[[#This Row],[BEGINNING BALANCE]]*(InterestRate/PaymentsPerYear),"")</f>
        <v>927.37985609387579</v>
      </c>
      <c r="J22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113189.85398532826</v>
      </c>
      <c r="K221" s="32">
        <f>IF(PaymentSchedule45[[#This Row],[PMT NO]]&lt;&gt;"",SUM(INDEX(PaymentSchedule45[INTEREST],1,1):PaymentSchedule45[[#This Row],[INTEREST]]),"")</f>
        <v>229803.90034325895</v>
      </c>
    </row>
    <row r="222" spans="2:11" x14ac:dyDescent="0.3">
      <c r="B222" s="30">
        <f>IF(LoanIsGood,IF(ROW()-ROW(PaymentSchedule45[[#Headers],[PMT NO]])&gt;ScheduledNumberOfPayments,"",ROW()-ROW(PaymentSchedule45[[#Headers],[PMT NO]])),"")</f>
        <v>207</v>
      </c>
      <c r="C222" s="31">
        <f>IF(PaymentSchedule45[[#This Row],[PMT NO]]&lt;&gt;"",EOMONTH(LoanStartDate,ROW(PaymentSchedule45[[#This Row],[PMT NO]])-ROW(PaymentSchedule45[[#Headers],[PMT NO]])-2)+DAY(LoanStartDate),"")</f>
        <v>49644</v>
      </c>
      <c r="D222" s="32">
        <f>IF(PaymentSchedule45[[#This Row],[PMT NO]]&lt;&gt;"",IF(ROW()-ROW(PaymentSchedule45[[#Headers],[BEGINNING BALANCE]])=1,LoanAmount,INDEX(PaymentSchedule45[ENDING BALANCE],ROW()-ROW(PaymentSchedule45[[#Headers],[BEGINNING BALANCE]])-1)),"")</f>
        <v>113189.85398532826</v>
      </c>
      <c r="E222" s="32">
        <f>IF(PaymentSchedule45[[#This Row],[PMT NO]]&lt;&gt;"",ScheduledPayment,"")</f>
        <v>1294.2429434851008</v>
      </c>
      <c r="F22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2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22" s="32">
        <f>IF(PaymentSchedule45[[#This Row],[PMT NO]]&lt;&gt;"",PaymentSchedule45[[#This Row],[TOTAL PAYMENT]]-PaymentSchedule45[[#This Row],[INTEREST]],"")</f>
        <v>369.8591359382533</v>
      </c>
      <c r="I222" s="32">
        <f>IF(PaymentSchedule45[[#This Row],[PMT NO]]&lt;&gt;"",PaymentSchedule45[[#This Row],[BEGINNING BALANCE]]*(InterestRate/PaymentsPerYear),"")</f>
        <v>924.38380754684749</v>
      </c>
      <c r="J22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112819.99484939</v>
      </c>
      <c r="K222" s="32">
        <f>IF(PaymentSchedule45[[#This Row],[PMT NO]]&lt;&gt;"",SUM(INDEX(PaymentSchedule45[INTEREST],1,1):PaymentSchedule45[[#This Row],[INTEREST]]),"")</f>
        <v>230728.28415080579</v>
      </c>
    </row>
    <row r="223" spans="2:11" x14ac:dyDescent="0.3">
      <c r="B223" s="30">
        <f>IF(LoanIsGood,IF(ROW()-ROW(PaymentSchedule45[[#Headers],[PMT NO]])&gt;ScheduledNumberOfPayments,"",ROW()-ROW(PaymentSchedule45[[#Headers],[PMT NO]])),"")</f>
        <v>208</v>
      </c>
      <c r="C223" s="31">
        <f>IF(PaymentSchedule45[[#This Row],[PMT NO]]&lt;&gt;"",EOMONTH(LoanStartDate,ROW(PaymentSchedule45[[#This Row],[PMT NO]])-ROW(PaymentSchedule45[[#Headers],[PMT NO]])-2)+DAY(LoanStartDate),"")</f>
        <v>49675</v>
      </c>
      <c r="D223" s="32">
        <f>IF(PaymentSchedule45[[#This Row],[PMT NO]]&lt;&gt;"",IF(ROW()-ROW(PaymentSchedule45[[#Headers],[BEGINNING BALANCE]])=1,LoanAmount,INDEX(PaymentSchedule45[ENDING BALANCE],ROW()-ROW(PaymentSchedule45[[#Headers],[BEGINNING BALANCE]])-1)),"")</f>
        <v>112819.99484939</v>
      </c>
      <c r="E223" s="32">
        <f>IF(PaymentSchedule45[[#This Row],[PMT NO]]&lt;&gt;"",ScheduledPayment,"")</f>
        <v>1294.2429434851008</v>
      </c>
      <c r="F22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2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23" s="32">
        <f>IF(PaymentSchedule45[[#This Row],[PMT NO]]&lt;&gt;"",PaymentSchedule45[[#This Row],[TOTAL PAYMENT]]-PaymentSchedule45[[#This Row],[INTEREST]],"")</f>
        <v>372.87965221508239</v>
      </c>
      <c r="I223" s="32">
        <f>IF(PaymentSchedule45[[#This Row],[PMT NO]]&lt;&gt;"",PaymentSchedule45[[#This Row],[BEGINNING BALANCE]]*(InterestRate/PaymentsPerYear),"")</f>
        <v>921.36329127001841</v>
      </c>
      <c r="J22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112447.11519717492</v>
      </c>
      <c r="K223" s="32">
        <f>IF(PaymentSchedule45[[#This Row],[PMT NO]]&lt;&gt;"",SUM(INDEX(PaymentSchedule45[INTEREST],1,1):PaymentSchedule45[[#This Row],[INTEREST]]),"")</f>
        <v>231649.6474420758</v>
      </c>
    </row>
    <row r="224" spans="2:11" x14ac:dyDescent="0.3">
      <c r="B224" s="30">
        <f>IF(LoanIsGood,IF(ROW()-ROW(PaymentSchedule45[[#Headers],[PMT NO]])&gt;ScheduledNumberOfPayments,"",ROW()-ROW(PaymentSchedule45[[#Headers],[PMT NO]])),"")</f>
        <v>209</v>
      </c>
      <c r="C224" s="31">
        <f>IF(PaymentSchedule45[[#This Row],[PMT NO]]&lt;&gt;"",EOMONTH(LoanStartDate,ROW(PaymentSchedule45[[#This Row],[PMT NO]])-ROW(PaymentSchedule45[[#Headers],[PMT NO]])-2)+DAY(LoanStartDate),"")</f>
        <v>49706</v>
      </c>
      <c r="D224" s="32">
        <f>IF(PaymentSchedule45[[#This Row],[PMT NO]]&lt;&gt;"",IF(ROW()-ROW(PaymentSchedule45[[#Headers],[BEGINNING BALANCE]])=1,LoanAmount,INDEX(PaymentSchedule45[ENDING BALANCE],ROW()-ROW(PaymentSchedule45[[#Headers],[BEGINNING BALANCE]])-1)),"")</f>
        <v>112447.11519717492</v>
      </c>
      <c r="E224" s="32">
        <f>IF(PaymentSchedule45[[#This Row],[PMT NO]]&lt;&gt;"",ScheduledPayment,"")</f>
        <v>1294.2429434851008</v>
      </c>
      <c r="F22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2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24" s="32">
        <f>IF(PaymentSchedule45[[#This Row],[PMT NO]]&lt;&gt;"",PaymentSchedule45[[#This Row],[TOTAL PAYMENT]]-PaymentSchedule45[[#This Row],[INTEREST]],"")</f>
        <v>375.9248360415055</v>
      </c>
      <c r="I224" s="32">
        <f>IF(PaymentSchedule45[[#This Row],[PMT NO]]&lt;&gt;"",PaymentSchedule45[[#This Row],[BEGINNING BALANCE]]*(InterestRate/PaymentsPerYear),"")</f>
        <v>918.3181074435953</v>
      </c>
      <c r="J22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112071.19036113341</v>
      </c>
      <c r="K224" s="32">
        <f>IF(PaymentSchedule45[[#This Row],[PMT NO]]&lt;&gt;"",SUM(INDEX(PaymentSchedule45[INTEREST],1,1):PaymentSchedule45[[#This Row],[INTEREST]]),"")</f>
        <v>232567.9655495194</v>
      </c>
    </row>
    <row r="225" spans="2:11" x14ac:dyDescent="0.3">
      <c r="B225" s="30">
        <f>IF(LoanIsGood,IF(ROW()-ROW(PaymentSchedule45[[#Headers],[PMT NO]])&gt;ScheduledNumberOfPayments,"",ROW()-ROW(PaymentSchedule45[[#Headers],[PMT NO]])),"")</f>
        <v>210</v>
      </c>
      <c r="C225" s="31">
        <f>IF(PaymentSchedule45[[#This Row],[PMT NO]]&lt;&gt;"",EOMONTH(LoanStartDate,ROW(PaymentSchedule45[[#This Row],[PMT NO]])-ROW(PaymentSchedule45[[#Headers],[PMT NO]])-2)+DAY(LoanStartDate),"")</f>
        <v>49735</v>
      </c>
      <c r="D225" s="32">
        <f>IF(PaymentSchedule45[[#This Row],[PMT NO]]&lt;&gt;"",IF(ROW()-ROW(PaymentSchedule45[[#Headers],[BEGINNING BALANCE]])=1,LoanAmount,INDEX(PaymentSchedule45[ENDING BALANCE],ROW()-ROW(PaymentSchedule45[[#Headers],[BEGINNING BALANCE]])-1)),"")</f>
        <v>112071.19036113341</v>
      </c>
      <c r="E225" s="32">
        <f>IF(PaymentSchedule45[[#This Row],[PMT NO]]&lt;&gt;"",ScheduledPayment,"")</f>
        <v>1294.2429434851008</v>
      </c>
      <c r="F22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2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25" s="32">
        <f>IF(PaymentSchedule45[[#This Row],[PMT NO]]&lt;&gt;"",PaymentSchedule45[[#This Row],[TOTAL PAYMENT]]-PaymentSchedule45[[#This Row],[INTEREST]],"")</f>
        <v>378.99488886917777</v>
      </c>
      <c r="I225" s="32">
        <f>IF(PaymentSchedule45[[#This Row],[PMT NO]]&lt;&gt;"",PaymentSchedule45[[#This Row],[BEGINNING BALANCE]]*(InterestRate/PaymentsPerYear),"")</f>
        <v>915.24805461592302</v>
      </c>
      <c r="J22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111692.19547226424</v>
      </c>
      <c r="K225" s="32">
        <f>IF(PaymentSchedule45[[#This Row],[PMT NO]]&lt;&gt;"",SUM(INDEX(PaymentSchedule45[INTEREST],1,1):PaymentSchedule45[[#This Row],[INTEREST]]),"")</f>
        <v>233483.21360413532</v>
      </c>
    </row>
    <row r="226" spans="2:11" x14ac:dyDescent="0.3">
      <c r="B226" s="30">
        <f>IF(LoanIsGood,IF(ROW()-ROW(PaymentSchedule45[[#Headers],[PMT NO]])&gt;ScheduledNumberOfPayments,"",ROW()-ROW(PaymentSchedule45[[#Headers],[PMT NO]])),"")</f>
        <v>211</v>
      </c>
      <c r="C226" s="31">
        <f>IF(PaymentSchedule45[[#This Row],[PMT NO]]&lt;&gt;"",EOMONTH(LoanStartDate,ROW(PaymentSchedule45[[#This Row],[PMT NO]])-ROW(PaymentSchedule45[[#Headers],[PMT NO]])-2)+DAY(LoanStartDate),"")</f>
        <v>49766</v>
      </c>
      <c r="D226" s="32">
        <f>IF(PaymentSchedule45[[#This Row],[PMT NO]]&lt;&gt;"",IF(ROW()-ROW(PaymentSchedule45[[#Headers],[BEGINNING BALANCE]])=1,LoanAmount,INDEX(PaymentSchedule45[ENDING BALANCE],ROW()-ROW(PaymentSchedule45[[#Headers],[BEGINNING BALANCE]])-1)),"")</f>
        <v>111692.19547226424</v>
      </c>
      <c r="E226" s="32">
        <f>IF(PaymentSchedule45[[#This Row],[PMT NO]]&lt;&gt;"",ScheduledPayment,"")</f>
        <v>1294.2429434851008</v>
      </c>
      <c r="F22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2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26" s="32">
        <f>IF(PaymentSchedule45[[#This Row],[PMT NO]]&lt;&gt;"",PaymentSchedule45[[#This Row],[TOTAL PAYMENT]]-PaymentSchedule45[[#This Row],[INTEREST]],"")</f>
        <v>382.09001379494271</v>
      </c>
      <c r="I226" s="32">
        <f>IF(PaymentSchedule45[[#This Row],[PMT NO]]&lt;&gt;"",PaymentSchedule45[[#This Row],[BEGINNING BALANCE]]*(InterestRate/PaymentsPerYear),"")</f>
        <v>912.15292969015809</v>
      </c>
      <c r="J22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111310.1054584693</v>
      </c>
      <c r="K226" s="32">
        <f>IF(PaymentSchedule45[[#This Row],[PMT NO]]&lt;&gt;"",SUM(INDEX(PaymentSchedule45[INTEREST],1,1):PaymentSchedule45[[#This Row],[INTEREST]]),"")</f>
        <v>234395.36653382549</v>
      </c>
    </row>
    <row r="227" spans="2:11" x14ac:dyDescent="0.3">
      <c r="B227" s="30">
        <f>IF(LoanIsGood,IF(ROW()-ROW(PaymentSchedule45[[#Headers],[PMT NO]])&gt;ScheduledNumberOfPayments,"",ROW()-ROW(PaymentSchedule45[[#Headers],[PMT NO]])),"")</f>
        <v>212</v>
      </c>
      <c r="C227" s="31">
        <f>IF(PaymentSchedule45[[#This Row],[PMT NO]]&lt;&gt;"",EOMONTH(LoanStartDate,ROW(PaymentSchedule45[[#This Row],[PMT NO]])-ROW(PaymentSchedule45[[#Headers],[PMT NO]])-2)+DAY(LoanStartDate),"")</f>
        <v>49796</v>
      </c>
      <c r="D227" s="32">
        <f>IF(PaymentSchedule45[[#This Row],[PMT NO]]&lt;&gt;"",IF(ROW()-ROW(PaymentSchedule45[[#Headers],[BEGINNING BALANCE]])=1,LoanAmount,INDEX(PaymentSchedule45[ENDING BALANCE],ROW()-ROW(PaymentSchedule45[[#Headers],[BEGINNING BALANCE]])-1)),"")</f>
        <v>111310.1054584693</v>
      </c>
      <c r="E227" s="32">
        <f>IF(PaymentSchedule45[[#This Row],[PMT NO]]&lt;&gt;"",ScheduledPayment,"")</f>
        <v>1294.2429434851008</v>
      </c>
      <c r="F22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2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27" s="32">
        <f>IF(PaymentSchedule45[[#This Row],[PMT NO]]&lt;&gt;"",PaymentSchedule45[[#This Row],[TOTAL PAYMENT]]-PaymentSchedule45[[#This Row],[INTEREST]],"")</f>
        <v>385.21041557426804</v>
      </c>
      <c r="I227" s="32">
        <f>IF(PaymentSchedule45[[#This Row],[PMT NO]]&lt;&gt;"",PaymentSchedule45[[#This Row],[BEGINNING BALANCE]]*(InterestRate/PaymentsPerYear),"")</f>
        <v>909.03252791083275</v>
      </c>
      <c r="J22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110924.89504289503</v>
      </c>
      <c r="K227" s="32">
        <f>IF(PaymentSchedule45[[#This Row],[PMT NO]]&lt;&gt;"",SUM(INDEX(PaymentSchedule45[INTEREST],1,1):PaymentSchedule45[[#This Row],[INTEREST]]),"")</f>
        <v>235304.39906173633</v>
      </c>
    </row>
    <row r="228" spans="2:11" x14ac:dyDescent="0.3">
      <c r="B228" s="30">
        <f>IF(LoanIsGood,IF(ROW()-ROW(PaymentSchedule45[[#Headers],[PMT NO]])&gt;ScheduledNumberOfPayments,"",ROW()-ROW(PaymentSchedule45[[#Headers],[PMT NO]])),"")</f>
        <v>213</v>
      </c>
      <c r="C228" s="31">
        <f>IF(PaymentSchedule45[[#This Row],[PMT NO]]&lt;&gt;"",EOMONTH(LoanStartDate,ROW(PaymentSchedule45[[#This Row],[PMT NO]])-ROW(PaymentSchedule45[[#Headers],[PMT NO]])-2)+DAY(LoanStartDate),"")</f>
        <v>49827</v>
      </c>
      <c r="D228" s="32">
        <f>IF(PaymentSchedule45[[#This Row],[PMT NO]]&lt;&gt;"",IF(ROW()-ROW(PaymentSchedule45[[#Headers],[BEGINNING BALANCE]])=1,LoanAmount,INDEX(PaymentSchedule45[ENDING BALANCE],ROW()-ROW(PaymentSchedule45[[#Headers],[BEGINNING BALANCE]])-1)),"")</f>
        <v>110924.89504289503</v>
      </c>
      <c r="E228" s="32">
        <f>IF(PaymentSchedule45[[#This Row],[PMT NO]]&lt;&gt;"",ScheduledPayment,"")</f>
        <v>1294.2429434851008</v>
      </c>
      <c r="F22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2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28" s="32">
        <f>IF(PaymentSchedule45[[#This Row],[PMT NO]]&lt;&gt;"",PaymentSchedule45[[#This Row],[TOTAL PAYMENT]]-PaymentSchedule45[[#This Row],[INTEREST]],"")</f>
        <v>388.3563006347913</v>
      </c>
      <c r="I228" s="32">
        <f>IF(PaymentSchedule45[[#This Row],[PMT NO]]&lt;&gt;"",PaymentSchedule45[[#This Row],[BEGINNING BALANCE]]*(InterestRate/PaymentsPerYear),"")</f>
        <v>905.8866428503095</v>
      </c>
      <c r="J22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110536.53874226024</v>
      </c>
      <c r="K228" s="32">
        <f>IF(PaymentSchedule45[[#This Row],[PMT NO]]&lt;&gt;"",SUM(INDEX(PaymentSchedule45[INTEREST],1,1):PaymentSchedule45[[#This Row],[INTEREST]]),"")</f>
        <v>236210.28570458663</v>
      </c>
    </row>
    <row r="229" spans="2:11" x14ac:dyDescent="0.3">
      <c r="B229" s="30">
        <f>IF(LoanIsGood,IF(ROW()-ROW(PaymentSchedule45[[#Headers],[PMT NO]])&gt;ScheduledNumberOfPayments,"",ROW()-ROW(PaymentSchedule45[[#Headers],[PMT NO]])),"")</f>
        <v>214</v>
      </c>
      <c r="C229" s="31">
        <f>IF(PaymentSchedule45[[#This Row],[PMT NO]]&lt;&gt;"",EOMONTH(LoanStartDate,ROW(PaymentSchedule45[[#This Row],[PMT NO]])-ROW(PaymentSchedule45[[#Headers],[PMT NO]])-2)+DAY(LoanStartDate),"")</f>
        <v>49857</v>
      </c>
      <c r="D229" s="32">
        <f>IF(PaymentSchedule45[[#This Row],[PMT NO]]&lt;&gt;"",IF(ROW()-ROW(PaymentSchedule45[[#Headers],[BEGINNING BALANCE]])=1,LoanAmount,INDEX(PaymentSchedule45[ENDING BALANCE],ROW()-ROW(PaymentSchedule45[[#Headers],[BEGINNING BALANCE]])-1)),"")</f>
        <v>110536.53874226024</v>
      </c>
      <c r="E229" s="32">
        <f>IF(PaymentSchedule45[[#This Row],[PMT NO]]&lt;&gt;"",ScheduledPayment,"")</f>
        <v>1294.2429434851008</v>
      </c>
      <c r="F22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2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29" s="32">
        <f>IF(PaymentSchedule45[[#This Row],[PMT NO]]&lt;&gt;"",PaymentSchedule45[[#This Row],[TOTAL PAYMENT]]-PaymentSchedule45[[#This Row],[INTEREST]],"")</f>
        <v>391.52787708997539</v>
      </c>
      <c r="I229" s="32">
        <f>IF(PaymentSchedule45[[#This Row],[PMT NO]]&lt;&gt;"",PaymentSchedule45[[#This Row],[BEGINNING BALANCE]]*(InterestRate/PaymentsPerYear),"")</f>
        <v>902.7150663951254</v>
      </c>
      <c r="J22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110145.01086517026</v>
      </c>
      <c r="K229" s="32">
        <f>IF(PaymentSchedule45[[#This Row],[PMT NO]]&lt;&gt;"",SUM(INDEX(PaymentSchedule45[INTEREST],1,1):PaymentSchedule45[[#This Row],[INTEREST]]),"")</f>
        <v>237113.00077098174</v>
      </c>
    </row>
    <row r="230" spans="2:11" x14ac:dyDescent="0.3">
      <c r="B230" s="30">
        <f>IF(LoanIsGood,IF(ROW()-ROW(PaymentSchedule45[[#Headers],[PMT NO]])&gt;ScheduledNumberOfPayments,"",ROW()-ROW(PaymentSchedule45[[#Headers],[PMT NO]])),"")</f>
        <v>215</v>
      </c>
      <c r="C230" s="31">
        <f>IF(PaymentSchedule45[[#This Row],[PMT NO]]&lt;&gt;"",EOMONTH(LoanStartDate,ROW(PaymentSchedule45[[#This Row],[PMT NO]])-ROW(PaymentSchedule45[[#Headers],[PMT NO]])-2)+DAY(LoanStartDate),"")</f>
        <v>49888</v>
      </c>
      <c r="D230" s="32">
        <f>IF(PaymentSchedule45[[#This Row],[PMT NO]]&lt;&gt;"",IF(ROW()-ROW(PaymentSchedule45[[#Headers],[BEGINNING BALANCE]])=1,LoanAmount,INDEX(PaymentSchedule45[ENDING BALANCE],ROW()-ROW(PaymentSchedule45[[#Headers],[BEGINNING BALANCE]])-1)),"")</f>
        <v>110145.01086517026</v>
      </c>
      <c r="E230" s="32">
        <f>IF(PaymentSchedule45[[#This Row],[PMT NO]]&lt;&gt;"",ScheduledPayment,"")</f>
        <v>1294.2429434851008</v>
      </c>
      <c r="F23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3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30" s="32">
        <f>IF(PaymentSchedule45[[#This Row],[PMT NO]]&lt;&gt;"",PaymentSchedule45[[#This Row],[TOTAL PAYMENT]]-PaymentSchedule45[[#This Row],[INTEREST]],"")</f>
        <v>394.72535475287691</v>
      </c>
      <c r="I230" s="32">
        <f>IF(PaymentSchedule45[[#This Row],[PMT NO]]&lt;&gt;"",PaymentSchedule45[[#This Row],[BEGINNING BALANCE]]*(InterestRate/PaymentsPerYear),"")</f>
        <v>899.51758873222389</v>
      </c>
      <c r="J23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109750.28551041738</v>
      </c>
      <c r="K230" s="32">
        <f>IF(PaymentSchedule45[[#This Row],[PMT NO]]&lt;&gt;"",SUM(INDEX(PaymentSchedule45[INTEREST],1,1):PaymentSchedule45[[#This Row],[INTEREST]]),"")</f>
        <v>238012.51835971395</v>
      </c>
    </row>
    <row r="231" spans="2:11" x14ac:dyDescent="0.3">
      <c r="B231" s="30">
        <f>IF(LoanIsGood,IF(ROW()-ROW(PaymentSchedule45[[#Headers],[PMT NO]])&gt;ScheduledNumberOfPayments,"",ROW()-ROW(PaymentSchedule45[[#Headers],[PMT NO]])),"")</f>
        <v>216</v>
      </c>
      <c r="C231" s="31">
        <f>IF(PaymentSchedule45[[#This Row],[PMT NO]]&lt;&gt;"",EOMONTH(LoanStartDate,ROW(PaymentSchedule45[[#This Row],[PMT NO]])-ROW(PaymentSchedule45[[#Headers],[PMT NO]])-2)+DAY(LoanStartDate),"")</f>
        <v>49919</v>
      </c>
      <c r="D231" s="32">
        <f>IF(PaymentSchedule45[[#This Row],[PMT NO]]&lt;&gt;"",IF(ROW()-ROW(PaymentSchedule45[[#Headers],[BEGINNING BALANCE]])=1,LoanAmount,INDEX(PaymentSchedule45[ENDING BALANCE],ROW()-ROW(PaymentSchedule45[[#Headers],[BEGINNING BALANCE]])-1)),"")</f>
        <v>109750.28551041738</v>
      </c>
      <c r="E231" s="32">
        <f>IF(PaymentSchedule45[[#This Row],[PMT NO]]&lt;&gt;"",ScheduledPayment,"")</f>
        <v>1294.2429434851008</v>
      </c>
      <c r="F23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3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31" s="32">
        <f>IF(PaymentSchedule45[[#This Row],[PMT NO]]&lt;&gt;"",PaymentSchedule45[[#This Row],[TOTAL PAYMENT]]-PaymentSchedule45[[#This Row],[INTEREST]],"")</f>
        <v>397.94894515002545</v>
      </c>
      <c r="I231" s="32">
        <f>IF(PaymentSchedule45[[#This Row],[PMT NO]]&lt;&gt;"",PaymentSchedule45[[#This Row],[BEGINNING BALANCE]]*(InterestRate/PaymentsPerYear),"")</f>
        <v>896.29399833507534</v>
      </c>
      <c r="J23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109352.33656526735</v>
      </c>
      <c r="K231" s="32">
        <f>IF(PaymentSchedule45[[#This Row],[PMT NO]]&lt;&gt;"",SUM(INDEX(PaymentSchedule45[INTEREST],1,1):PaymentSchedule45[[#This Row],[INTEREST]]),"")</f>
        <v>238908.81235804904</v>
      </c>
    </row>
    <row r="232" spans="2:11" x14ac:dyDescent="0.3">
      <c r="B232" s="30">
        <f>IF(LoanIsGood,IF(ROW()-ROW(PaymentSchedule45[[#Headers],[PMT NO]])&gt;ScheduledNumberOfPayments,"",ROW()-ROW(PaymentSchedule45[[#Headers],[PMT NO]])),"")</f>
        <v>217</v>
      </c>
      <c r="C232" s="31">
        <f>IF(PaymentSchedule45[[#This Row],[PMT NO]]&lt;&gt;"",EOMONTH(LoanStartDate,ROW(PaymentSchedule45[[#This Row],[PMT NO]])-ROW(PaymentSchedule45[[#Headers],[PMT NO]])-2)+DAY(LoanStartDate),"")</f>
        <v>49949</v>
      </c>
      <c r="D232" s="32">
        <f>IF(PaymentSchedule45[[#This Row],[PMT NO]]&lt;&gt;"",IF(ROW()-ROW(PaymentSchedule45[[#Headers],[BEGINNING BALANCE]])=1,LoanAmount,INDEX(PaymentSchedule45[ENDING BALANCE],ROW()-ROW(PaymentSchedule45[[#Headers],[BEGINNING BALANCE]])-1)),"")</f>
        <v>109352.33656526735</v>
      </c>
      <c r="E232" s="32">
        <f>IF(PaymentSchedule45[[#This Row],[PMT NO]]&lt;&gt;"",ScheduledPayment,"")</f>
        <v>1294.2429434851008</v>
      </c>
      <c r="F23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3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32" s="32">
        <f>IF(PaymentSchedule45[[#This Row],[PMT NO]]&lt;&gt;"",PaymentSchedule45[[#This Row],[TOTAL PAYMENT]]-PaymentSchedule45[[#This Row],[INTEREST]],"")</f>
        <v>401.19886153541734</v>
      </c>
      <c r="I232" s="32">
        <f>IF(PaymentSchedule45[[#This Row],[PMT NO]]&lt;&gt;"",PaymentSchedule45[[#This Row],[BEGINNING BALANCE]]*(InterestRate/PaymentsPerYear),"")</f>
        <v>893.04408194968346</v>
      </c>
      <c r="J23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108951.13770373193</v>
      </c>
      <c r="K232" s="32">
        <f>IF(PaymentSchedule45[[#This Row],[PMT NO]]&lt;&gt;"",SUM(INDEX(PaymentSchedule45[INTEREST],1,1):PaymentSchedule45[[#This Row],[INTEREST]]),"")</f>
        <v>239801.85643999872</v>
      </c>
    </row>
    <row r="233" spans="2:11" x14ac:dyDescent="0.3">
      <c r="B233" s="30">
        <f>IF(LoanIsGood,IF(ROW()-ROW(PaymentSchedule45[[#Headers],[PMT NO]])&gt;ScheduledNumberOfPayments,"",ROW()-ROW(PaymentSchedule45[[#Headers],[PMT NO]])),"")</f>
        <v>218</v>
      </c>
      <c r="C233" s="31">
        <f>IF(PaymentSchedule45[[#This Row],[PMT NO]]&lt;&gt;"",EOMONTH(LoanStartDate,ROW(PaymentSchedule45[[#This Row],[PMT NO]])-ROW(PaymentSchedule45[[#Headers],[PMT NO]])-2)+DAY(LoanStartDate),"")</f>
        <v>49980</v>
      </c>
      <c r="D233" s="32">
        <f>IF(PaymentSchedule45[[#This Row],[PMT NO]]&lt;&gt;"",IF(ROW()-ROW(PaymentSchedule45[[#Headers],[BEGINNING BALANCE]])=1,LoanAmount,INDEX(PaymentSchedule45[ENDING BALANCE],ROW()-ROW(PaymentSchedule45[[#Headers],[BEGINNING BALANCE]])-1)),"")</f>
        <v>108951.13770373193</v>
      </c>
      <c r="E233" s="32">
        <f>IF(PaymentSchedule45[[#This Row],[PMT NO]]&lt;&gt;"",ScheduledPayment,"")</f>
        <v>1294.2429434851008</v>
      </c>
      <c r="F23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3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33" s="32">
        <f>IF(PaymentSchedule45[[#This Row],[PMT NO]]&lt;&gt;"",PaymentSchedule45[[#This Row],[TOTAL PAYMENT]]-PaymentSchedule45[[#This Row],[INTEREST]],"")</f>
        <v>404.47531890462324</v>
      </c>
      <c r="I233" s="32">
        <f>IF(PaymentSchedule45[[#This Row],[PMT NO]]&lt;&gt;"",PaymentSchedule45[[#This Row],[BEGINNING BALANCE]]*(InterestRate/PaymentsPerYear),"")</f>
        <v>889.76762458047756</v>
      </c>
      <c r="J23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108546.66238482732</v>
      </c>
      <c r="K233" s="32">
        <f>IF(PaymentSchedule45[[#This Row],[PMT NO]]&lt;&gt;"",SUM(INDEX(PaymentSchedule45[INTEREST],1,1):PaymentSchedule45[[#This Row],[INTEREST]]),"")</f>
        <v>240691.6240645792</v>
      </c>
    </row>
    <row r="234" spans="2:11" x14ac:dyDescent="0.3">
      <c r="B234" s="30">
        <f>IF(LoanIsGood,IF(ROW()-ROW(PaymentSchedule45[[#Headers],[PMT NO]])&gt;ScheduledNumberOfPayments,"",ROW()-ROW(PaymentSchedule45[[#Headers],[PMT NO]])),"")</f>
        <v>219</v>
      </c>
      <c r="C234" s="31">
        <f>IF(PaymentSchedule45[[#This Row],[PMT NO]]&lt;&gt;"",EOMONTH(LoanStartDate,ROW(PaymentSchedule45[[#This Row],[PMT NO]])-ROW(PaymentSchedule45[[#Headers],[PMT NO]])-2)+DAY(LoanStartDate),"")</f>
        <v>50010</v>
      </c>
      <c r="D234" s="32">
        <f>IF(PaymentSchedule45[[#This Row],[PMT NO]]&lt;&gt;"",IF(ROW()-ROW(PaymentSchedule45[[#Headers],[BEGINNING BALANCE]])=1,LoanAmount,INDEX(PaymentSchedule45[ENDING BALANCE],ROW()-ROW(PaymentSchedule45[[#Headers],[BEGINNING BALANCE]])-1)),"")</f>
        <v>108546.66238482732</v>
      </c>
      <c r="E234" s="32">
        <f>IF(PaymentSchedule45[[#This Row],[PMT NO]]&lt;&gt;"",ScheduledPayment,"")</f>
        <v>1294.2429434851008</v>
      </c>
      <c r="F23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3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34" s="32">
        <f>IF(PaymentSchedule45[[#This Row],[PMT NO]]&lt;&gt;"",PaymentSchedule45[[#This Row],[TOTAL PAYMENT]]-PaymentSchedule45[[#This Row],[INTEREST]],"")</f>
        <v>407.77853400901097</v>
      </c>
      <c r="I234" s="32">
        <f>IF(PaymentSchedule45[[#This Row],[PMT NO]]&lt;&gt;"",PaymentSchedule45[[#This Row],[BEGINNING BALANCE]]*(InterestRate/PaymentsPerYear),"")</f>
        <v>886.46440947608983</v>
      </c>
      <c r="J23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108138.88385081831</v>
      </c>
      <c r="K234" s="32">
        <f>IF(PaymentSchedule45[[#This Row],[PMT NO]]&lt;&gt;"",SUM(INDEX(PaymentSchedule45[INTEREST],1,1):PaymentSchedule45[[#This Row],[INTEREST]]),"")</f>
        <v>241578.08847405529</v>
      </c>
    </row>
    <row r="235" spans="2:11" x14ac:dyDescent="0.3">
      <c r="B235" s="30">
        <f>IF(LoanIsGood,IF(ROW()-ROW(PaymentSchedule45[[#Headers],[PMT NO]])&gt;ScheduledNumberOfPayments,"",ROW()-ROW(PaymentSchedule45[[#Headers],[PMT NO]])),"")</f>
        <v>220</v>
      </c>
      <c r="C235" s="31">
        <f>IF(PaymentSchedule45[[#This Row],[PMT NO]]&lt;&gt;"",EOMONTH(LoanStartDate,ROW(PaymentSchedule45[[#This Row],[PMT NO]])-ROW(PaymentSchedule45[[#Headers],[PMT NO]])-2)+DAY(LoanStartDate),"")</f>
        <v>50041</v>
      </c>
      <c r="D235" s="32">
        <f>IF(PaymentSchedule45[[#This Row],[PMT NO]]&lt;&gt;"",IF(ROW()-ROW(PaymentSchedule45[[#Headers],[BEGINNING BALANCE]])=1,LoanAmount,INDEX(PaymentSchedule45[ENDING BALANCE],ROW()-ROW(PaymentSchedule45[[#Headers],[BEGINNING BALANCE]])-1)),"")</f>
        <v>108138.88385081831</v>
      </c>
      <c r="E235" s="32">
        <f>IF(PaymentSchedule45[[#This Row],[PMT NO]]&lt;&gt;"",ScheduledPayment,"")</f>
        <v>1294.2429434851008</v>
      </c>
      <c r="F23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3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35" s="32">
        <f>IF(PaymentSchedule45[[#This Row],[PMT NO]]&lt;&gt;"",PaymentSchedule45[[#This Row],[TOTAL PAYMENT]]-PaymentSchedule45[[#This Row],[INTEREST]],"")</f>
        <v>411.10872537008447</v>
      </c>
      <c r="I235" s="32">
        <f>IF(PaymentSchedule45[[#This Row],[PMT NO]]&lt;&gt;"",PaymentSchedule45[[#This Row],[BEGINNING BALANCE]]*(InterestRate/PaymentsPerYear),"")</f>
        <v>883.13421811501632</v>
      </c>
      <c r="J23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107727.77512544823</v>
      </c>
      <c r="K235" s="32">
        <f>IF(PaymentSchedule45[[#This Row],[PMT NO]]&lt;&gt;"",SUM(INDEX(PaymentSchedule45[INTEREST],1,1):PaymentSchedule45[[#This Row],[INTEREST]]),"")</f>
        <v>242461.2226921703</v>
      </c>
    </row>
    <row r="236" spans="2:11" x14ac:dyDescent="0.3">
      <c r="B236" s="30">
        <f>IF(LoanIsGood,IF(ROW()-ROW(PaymentSchedule45[[#Headers],[PMT NO]])&gt;ScheduledNumberOfPayments,"",ROW()-ROW(PaymentSchedule45[[#Headers],[PMT NO]])),"")</f>
        <v>221</v>
      </c>
      <c r="C236" s="31">
        <f>IF(PaymentSchedule45[[#This Row],[PMT NO]]&lt;&gt;"",EOMONTH(LoanStartDate,ROW(PaymentSchedule45[[#This Row],[PMT NO]])-ROW(PaymentSchedule45[[#Headers],[PMT NO]])-2)+DAY(LoanStartDate),"")</f>
        <v>50072</v>
      </c>
      <c r="D236" s="32">
        <f>IF(PaymentSchedule45[[#This Row],[PMT NO]]&lt;&gt;"",IF(ROW()-ROW(PaymentSchedule45[[#Headers],[BEGINNING BALANCE]])=1,LoanAmount,INDEX(PaymentSchedule45[ENDING BALANCE],ROW()-ROW(PaymentSchedule45[[#Headers],[BEGINNING BALANCE]])-1)),"")</f>
        <v>107727.77512544823</v>
      </c>
      <c r="E236" s="32">
        <f>IF(PaymentSchedule45[[#This Row],[PMT NO]]&lt;&gt;"",ScheduledPayment,"")</f>
        <v>1294.2429434851008</v>
      </c>
      <c r="F23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3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36" s="32">
        <f>IF(PaymentSchedule45[[#This Row],[PMT NO]]&lt;&gt;"",PaymentSchedule45[[#This Row],[TOTAL PAYMENT]]-PaymentSchedule45[[#This Row],[INTEREST]],"")</f>
        <v>414.46611329394023</v>
      </c>
      <c r="I236" s="32">
        <f>IF(PaymentSchedule45[[#This Row],[PMT NO]]&lt;&gt;"",PaymentSchedule45[[#This Row],[BEGINNING BALANCE]]*(InterestRate/PaymentsPerYear),"")</f>
        <v>879.77683019116057</v>
      </c>
      <c r="J23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107313.30901215429</v>
      </c>
      <c r="K236" s="32">
        <f>IF(PaymentSchedule45[[#This Row],[PMT NO]]&lt;&gt;"",SUM(INDEX(PaymentSchedule45[INTEREST],1,1):PaymentSchedule45[[#This Row],[INTEREST]]),"")</f>
        <v>243340.99952236147</v>
      </c>
    </row>
    <row r="237" spans="2:11" x14ac:dyDescent="0.3">
      <c r="B237" s="30">
        <f>IF(LoanIsGood,IF(ROW()-ROW(PaymentSchedule45[[#Headers],[PMT NO]])&gt;ScheduledNumberOfPayments,"",ROW()-ROW(PaymentSchedule45[[#Headers],[PMT NO]])),"")</f>
        <v>222</v>
      </c>
      <c r="C237" s="31">
        <f>IF(PaymentSchedule45[[#This Row],[PMT NO]]&lt;&gt;"",EOMONTH(LoanStartDate,ROW(PaymentSchedule45[[#This Row],[PMT NO]])-ROW(PaymentSchedule45[[#Headers],[PMT NO]])-2)+DAY(LoanStartDate),"")</f>
        <v>50100</v>
      </c>
      <c r="D237" s="32">
        <f>IF(PaymentSchedule45[[#This Row],[PMT NO]]&lt;&gt;"",IF(ROW()-ROW(PaymentSchedule45[[#Headers],[BEGINNING BALANCE]])=1,LoanAmount,INDEX(PaymentSchedule45[ENDING BALANCE],ROW()-ROW(PaymentSchedule45[[#Headers],[BEGINNING BALANCE]])-1)),"")</f>
        <v>107313.30901215429</v>
      </c>
      <c r="E237" s="32">
        <f>IF(PaymentSchedule45[[#This Row],[PMT NO]]&lt;&gt;"",ScheduledPayment,"")</f>
        <v>1294.2429434851008</v>
      </c>
      <c r="F23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3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37" s="32">
        <f>IF(PaymentSchedule45[[#This Row],[PMT NO]]&lt;&gt;"",PaymentSchedule45[[#This Row],[TOTAL PAYMENT]]-PaymentSchedule45[[#This Row],[INTEREST]],"")</f>
        <v>417.85091988584065</v>
      </c>
      <c r="I237" s="32">
        <f>IF(PaymentSchedule45[[#This Row],[PMT NO]]&lt;&gt;"",PaymentSchedule45[[#This Row],[BEGINNING BALANCE]]*(InterestRate/PaymentsPerYear),"")</f>
        <v>876.39202359926014</v>
      </c>
      <c r="J23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106895.45809226845</v>
      </c>
      <c r="K237" s="32">
        <f>IF(PaymentSchedule45[[#This Row],[PMT NO]]&lt;&gt;"",SUM(INDEX(PaymentSchedule45[INTEREST],1,1):PaymentSchedule45[[#This Row],[INTEREST]]),"")</f>
        <v>244217.39154596074</v>
      </c>
    </row>
    <row r="238" spans="2:11" x14ac:dyDescent="0.3">
      <c r="B238" s="30">
        <f>IF(LoanIsGood,IF(ROW()-ROW(PaymentSchedule45[[#Headers],[PMT NO]])&gt;ScheduledNumberOfPayments,"",ROW()-ROW(PaymentSchedule45[[#Headers],[PMT NO]])),"")</f>
        <v>223</v>
      </c>
      <c r="C238" s="31">
        <f>IF(PaymentSchedule45[[#This Row],[PMT NO]]&lt;&gt;"",EOMONTH(LoanStartDate,ROW(PaymentSchedule45[[#This Row],[PMT NO]])-ROW(PaymentSchedule45[[#Headers],[PMT NO]])-2)+DAY(LoanStartDate),"")</f>
        <v>50131</v>
      </c>
      <c r="D238" s="32">
        <f>IF(PaymentSchedule45[[#This Row],[PMT NO]]&lt;&gt;"",IF(ROW()-ROW(PaymentSchedule45[[#Headers],[BEGINNING BALANCE]])=1,LoanAmount,INDEX(PaymentSchedule45[ENDING BALANCE],ROW()-ROW(PaymentSchedule45[[#Headers],[BEGINNING BALANCE]])-1)),"")</f>
        <v>106895.45809226845</v>
      </c>
      <c r="E238" s="32">
        <f>IF(PaymentSchedule45[[#This Row],[PMT NO]]&lt;&gt;"",ScheduledPayment,"")</f>
        <v>1294.2429434851008</v>
      </c>
      <c r="F23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3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38" s="32">
        <f>IF(PaymentSchedule45[[#This Row],[PMT NO]]&lt;&gt;"",PaymentSchedule45[[#This Row],[TOTAL PAYMENT]]-PaymentSchedule45[[#This Row],[INTEREST]],"")</f>
        <v>421.26336906490837</v>
      </c>
      <c r="I238" s="32">
        <f>IF(PaymentSchedule45[[#This Row],[PMT NO]]&lt;&gt;"",PaymentSchedule45[[#This Row],[BEGINNING BALANCE]]*(InterestRate/PaymentsPerYear),"")</f>
        <v>872.97957442019242</v>
      </c>
      <c r="J23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106474.19472320355</v>
      </c>
      <c r="K238" s="32">
        <f>IF(PaymentSchedule45[[#This Row],[PMT NO]]&lt;&gt;"",SUM(INDEX(PaymentSchedule45[INTEREST],1,1):PaymentSchedule45[[#This Row],[INTEREST]]),"")</f>
        <v>245090.37112038094</v>
      </c>
    </row>
    <row r="239" spans="2:11" x14ac:dyDescent="0.3">
      <c r="B239" s="30">
        <f>IF(LoanIsGood,IF(ROW()-ROW(PaymentSchedule45[[#Headers],[PMT NO]])&gt;ScheduledNumberOfPayments,"",ROW()-ROW(PaymentSchedule45[[#Headers],[PMT NO]])),"")</f>
        <v>224</v>
      </c>
      <c r="C239" s="31">
        <f>IF(PaymentSchedule45[[#This Row],[PMT NO]]&lt;&gt;"",EOMONTH(LoanStartDate,ROW(PaymentSchedule45[[#This Row],[PMT NO]])-ROW(PaymentSchedule45[[#Headers],[PMT NO]])-2)+DAY(LoanStartDate),"")</f>
        <v>50161</v>
      </c>
      <c r="D239" s="32">
        <f>IF(PaymentSchedule45[[#This Row],[PMT NO]]&lt;&gt;"",IF(ROW()-ROW(PaymentSchedule45[[#Headers],[BEGINNING BALANCE]])=1,LoanAmount,INDEX(PaymentSchedule45[ENDING BALANCE],ROW()-ROW(PaymentSchedule45[[#Headers],[BEGINNING BALANCE]])-1)),"")</f>
        <v>106474.19472320355</v>
      </c>
      <c r="E239" s="32">
        <f>IF(PaymentSchedule45[[#This Row],[PMT NO]]&lt;&gt;"",ScheduledPayment,"")</f>
        <v>1294.2429434851008</v>
      </c>
      <c r="F23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3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39" s="32">
        <f>IF(PaymentSchedule45[[#This Row],[PMT NO]]&lt;&gt;"",PaymentSchedule45[[#This Row],[TOTAL PAYMENT]]-PaymentSchedule45[[#This Row],[INTEREST]],"")</f>
        <v>424.70368657893846</v>
      </c>
      <c r="I239" s="32">
        <f>IF(PaymentSchedule45[[#This Row],[PMT NO]]&lt;&gt;"",PaymentSchedule45[[#This Row],[BEGINNING BALANCE]]*(InterestRate/PaymentsPerYear),"")</f>
        <v>869.53925690616234</v>
      </c>
      <c r="J23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106049.4910366246</v>
      </c>
      <c r="K239" s="32">
        <f>IF(PaymentSchedule45[[#This Row],[PMT NO]]&lt;&gt;"",SUM(INDEX(PaymentSchedule45[INTEREST],1,1):PaymentSchedule45[[#This Row],[INTEREST]]),"")</f>
        <v>245959.9103772871</v>
      </c>
    </row>
    <row r="240" spans="2:11" x14ac:dyDescent="0.3">
      <c r="B240" s="30">
        <f>IF(LoanIsGood,IF(ROW()-ROW(PaymentSchedule45[[#Headers],[PMT NO]])&gt;ScheduledNumberOfPayments,"",ROW()-ROW(PaymentSchedule45[[#Headers],[PMT NO]])),"")</f>
        <v>225</v>
      </c>
      <c r="C240" s="31">
        <f>IF(PaymentSchedule45[[#This Row],[PMT NO]]&lt;&gt;"",EOMONTH(LoanStartDate,ROW(PaymentSchedule45[[#This Row],[PMT NO]])-ROW(PaymentSchedule45[[#Headers],[PMT NO]])-2)+DAY(LoanStartDate),"")</f>
        <v>50192</v>
      </c>
      <c r="D240" s="32">
        <f>IF(PaymentSchedule45[[#This Row],[PMT NO]]&lt;&gt;"",IF(ROW()-ROW(PaymentSchedule45[[#Headers],[BEGINNING BALANCE]])=1,LoanAmount,INDEX(PaymentSchedule45[ENDING BALANCE],ROW()-ROW(PaymentSchedule45[[#Headers],[BEGINNING BALANCE]])-1)),"")</f>
        <v>106049.4910366246</v>
      </c>
      <c r="E240" s="32">
        <f>IF(PaymentSchedule45[[#This Row],[PMT NO]]&lt;&gt;"",ScheduledPayment,"")</f>
        <v>1294.2429434851008</v>
      </c>
      <c r="F24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4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40" s="32">
        <f>IF(PaymentSchedule45[[#This Row],[PMT NO]]&lt;&gt;"",PaymentSchedule45[[#This Row],[TOTAL PAYMENT]]-PaymentSchedule45[[#This Row],[INTEREST]],"")</f>
        <v>428.17210001933313</v>
      </c>
      <c r="I240" s="32">
        <f>IF(PaymentSchedule45[[#This Row],[PMT NO]]&lt;&gt;"",PaymentSchedule45[[#This Row],[BEGINNING BALANCE]]*(InterestRate/PaymentsPerYear),"")</f>
        <v>866.07084346576767</v>
      </c>
      <c r="J24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105621.31893660527</v>
      </c>
      <c r="K240" s="32">
        <f>IF(PaymentSchedule45[[#This Row],[PMT NO]]&lt;&gt;"",SUM(INDEX(PaymentSchedule45[INTEREST],1,1):PaymentSchedule45[[#This Row],[INTEREST]]),"")</f>
        <v>246825.98122075287</v>
      </c>
    </row>
    <row r="241" spans="2:11" x14ac:dyDescent="0.3">
      <c r="B241" s="30">
        <f>IF(LoanIsGood,IF(ROW()-ROW(PaymentSchedule45[[#Headers],[PMT NO]])&gt;ScheduledNumberOfPayments,"",ROW()-ROW(PaymentSchedule45[[#Headers],[PMT NO]])),"")</f>
        <v>226</v>
      </c>
      <c r="C241" s="31">
        <f>IF(PaymentSchedule45[[#This Row],[PMT NO]]&lt;&gt;"",EOMONTH(LoanStartDate,ROW(PaymentSchedule45[[#This Row],[PMT NO]])-ROW(PaymentSchedule45[[#Headers],[PMT NO]])-2)+DAY(LoanStartDate),"")</f>
        <v>50222</v>
      </c>
      <c r="D241" s="32">
        <f>IF(PaymentSchedule45[[#This Row],[PMT NO]]&lt;&gt;"",IF(ROW()-ROW(PaymentSchedule45[[#Headers],[BEGINNING BALANCE]])=1,LoanAmount,INDEX(PaymentSchedule45[ENDING BALANCE],ROW()-ROW(PaymentSchedule45[[#Headers],[BEGINNING BALANCE]])-1)),"")</f>
        <v>105621.31893660527</v>
      </c>
      <c r="E241" s="32">
        <f>IF(PaymentSchedule45[[#This Row],[PMT NO]]&lt;&gt;"",ScheduledPayment,"")</f>
        <v>1294.2429434851008</v>
      </c>
      <c r="F24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4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41" s="32">
        <f>IF(PaymentSchedule45[[#This Row],[PMT NO]]&lt;&gt;"",PaymentSchedule45[[#This Row],[TOTAL PAYMENT]]-PaymentSchedule45[[#This Row],[INTEREST]],"")</f>
        <v>431.66883883615765</v>
      </c>
      <c r="I241" s="32">
        <f>IF(PaymentSchedule45[[#This Row],[PMT NO]]&lt;&gt;"",PaymentSchedule45[[#This Row],[BEGINNING BALANCE]]*(InterestRate/PaymentsPerYear),"")</f>
        <v>862.57410464894315</v>
      </c>
      <c r="J24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105189.65009776912</v>
      </c>
      <c r="K241" s="32">
        <f>IF(PaymentSchedule45[[#This Row],[PMT NO]]&lt;&gt;"",SUM(INDEX(PaymentSchedule45[INTEREST],1,1):PaymentSchedule45[[#This Row],[INTEREST]]),"")</f>
        <v>247688.55532540183</v>
      </c>
    </row>
    <row r="242" spans="2:11" x14ac:dyDescent="0.3">
      <c r="B242" s="30">
        <f>IF(LoanIsGood,IF(ROW()-ROW(PaymentSchedule45[[#Headers],[PMT NO]])&gt;ScheduledNumberOfPayments,"",ROW()-ROW(PaymentSchedule45[[#Headers],[PMT NO]])),"")</f>
        <v>227</v>
      </c>
      <c r="C242" s="31">
        <f>IF(PaymentSchedule45[[#This Row],[PMT NO]]&lt;&gt;"",EOMONTH(LoanStartDate,ROW(PaymentSchedule45[[#This Row],[PMT NO]])-ROW(PaymentSchedule45[[#Headers],[PMT NO]])-2)+DAY(LoanStartDate),"")</f>
        <v>50253</v>
      </c>
      <c r="D242" s="32">
        <f>IF(PaymentSchedule45[[#This Row],[PMT NO]]&lt;&gt;"",IF(ROW()-ROW(PaymentSchedule45[[#Headers],[BEGINNING BALANCE]])=1,LoanAmount,INDEX(PaymentSchedule45[ENDING BALANCE],ROW()-ROW(PaymentSchedule45[[#Headers],[BEGINNING BALANCE]])-1)),"")</f>
        <v>105189.65009776912</v>
      </c>
      <c r="E242" s="32">
        <f>IF(PaymentSchedule45[[#This Row],[PMT NO]]&lt;&gt;"",ScheduledPayment,"")</f>
        <v>1294.2429434851008</v>
      </c>
      <c r="F24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4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42" s="32">
        <f>IF(PaymentSchedule45[[#This Row],[PMT NO]]&lt;&gt;"",PaymentSchedule45[[#This Row],[TOTAL PAYMENT]]-PaymentSchedule45[[#This Row],[INTEREST]],"")</f>
        <v>435.19413435331955</v>
      </c>
      <c r="I242" s="32">
        <f>IF(PaymentSchedule45[[#This Row],[PMT NO]]&lt;&gt;"",PaymentSchedule45[[#This Row],[BEGINNING BALANCE]]*(InterestRate/PaymentsPerYear),"")</f>
        <v>859.04880913178124</v>
      </c>
      <c r="J24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104754.45596341579</v>
      </c>
      <c r="K242" s="32">
        <f>IF(PaymentSchedule45[[#This Row],[PMT NO]]&lt;&gt;"",SUM(INDEX(PaymentSchedule45[INTEREST],1,1):PaymentSchedule45[[#This Row],[INTEREST]]),"")</f>
        <v>248547.60413453361</v>
      </c>
    </row>
    <row r="243" spans="2:11" x14ac:dyDescent="0.3">
      <c r="B243" s="30">
        <f>IF(LoanIsGood,IF(ROW()-ROW(PaymentSchedule45[[#Headers],[PMT NO]])&gt;ScheduledNumberOfPayments,"",ROW()-ROW(PaymentSchedule45[[#Headers],[PMT NO]])),"")</f>
        <v>228</v>
      </c>
      <c r="C243" s="31">
        <f>IF(PaymentSchedule45[[#This Row],[PMT NO]]&lt;&gt;"",EOMONTH(LoanStartDate,ROW(PaymentSchedule45[[#This Row],[PMT NO]])-ROW(PaymentSchedule45[[#Headers],[PMT NO]])-2)+DAY(LoanStartDate),"")</f>
        <v>50284</v>
      </c>
      <c r="D243" s="32">
        <f>IF(PaymentSchedule45[[#This Row],[PMT NO]]&lt;&gt;"",IF(ROW()-ROW(PaymentSchedule45[[#Headers],[BEGINNING BALANCE]])=1,LoanAmount,INDEX(PaymentSchedule45[ENDING BALANCE],ROW()-ROW(PaymentSchedule45[[#Headers],[BEGINNING BALANCE]])-1)),"")</f>
        <v>104754.45596341579</v>
      </c>
      <c r="E243" s="32">
        <f>IF(PaymentSchedule45[[#This Row],[PMT NO]]&lt;&gt;"",ScheduledPayment,"")</f>
        <v>1294.2429434851008</v>
      </c>
      <c r="F24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4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43" s="32">
        <f>IF(PaymentSchedule45[[#This Row],[PMT NO]]&lt;&gt;"",PaymentSchedule45[[#This Row],[TOTAL PAYMENT]]-PaymentSchedule45[[#This Row],[INTEREST]],"")</f>
        <v>438.74821978387172</v>
      </c>
      <c r="I243" s="32">
        <f>IF(PaymentSchedule45[[#This Row],[PMT NO]]&lt;&gt;"",PaymentSchedule45[[#This Row],[BEGINNING BALANCE]]*(InterestRate/PaymentsPerYear),"")</f>
        <v>855.49472370122908</v>
      </c>
      <c r="J24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104315.70774363192</v>
      </c>
      <c r="K243" s="32">
        <f>IF(PaymentSchedule45[[#This Row],[PMT NO]]&lt;&gt;"",SUM(INDEX(PaymentSchedule45[INTEREST],1,1):PaymentSchedule45[[#This Row],[INTEREST]]),"")</f>
        <v>249403.09885823485</v>
      </c>
    </row>
    <row r="244" spans="2:11" x14ac:dyDescent="0.3">
      <c r="B244" s="30">
        <f>IF(LoanIsGood,IF(ROW()-ROW(PaymentSchedule45[[#Headers],[PMT NO]])&gt;ScheduledNumberOfPayments,"",ROW()-ROW(PaymentSchedule45[[#Headers],[PMT NO]])),"")</f>
        <v>229</v>
      </c>
      <c r="C244" s="31">
        <f>IF(PaymentSchedule45[[#This Row],[PMT NO]]&lt;&gt;"",EOMONTH(LoanStartDate,ROW(PaymentSchedule45[[#This Row],[PMT NO]])-ROW(PaymentSchedule45[[#Headers],[PMT NO]])-2)+DAY(LoanStartDate),"")</f>
        <v>50314</v>
      </c>
      <c r="D244" s="32">
        <f>IF(PaymentSchedule45[[#This Row],[PMT NO]]&lt;&gt;"",IF(ROW()-ROW(PaymentSchedule45[[#Headers],[BEGINNING BALANCE]])=1,LoanAmount,INDEX(PaymentSchedule45[ENDING BALANCE],ROW()-ROW(PaymentSchedule45[[#Headers],[BEGINNING BALANCE]])-1)),"")</f>
        <v>104315.70774363192</v>
      </c>
      <c r="E244" s="32">
        <f>IF(PaymentSchedule45[[#This Row],[PMT NO]]&lt;&gt;"",ScheduledPayment,"")</f>
        <v>1294.2429434851008</v>
      </c>
      <c r="F24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4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44" s="32">
        <f>IF(PaymentSchedule45[[#This Row],[PMT NO]]&lt;&gt;"",PaymentSchedule45[[#This Row],[TOTAL PAYMENT]]-PaymentSchedule45[[#This Row],[INTEREST]],"")</f>
        <v>442.33133024543997</v>
      </c>
      <c r="I244" s="32">
        <f>IF(PaymentSchedule45[[#This Row],[PMT NO]]&lt;&gt;"",PaymentSchedule45[[#This Row],[BEGINNING BALANCE]]*(InterestRate/PaymentsPerYear),"")</f>
        <v>851.91161323966082</v>
      </c>
      <c r="J24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103873.37641338649</v>
      </c>
      <c r="K244" s="32">
        <f>IF(PaymentSchedule45[[#This Row],[PMT NO]]&lt;&gt;"",SUM(INDEX(PaymentSchedule45[INTEREST],1,1):PaymentSchedule45[[#This Row],[INTEREST]]),"")</f>
        <v>250255.01047147452</v>
      </c>
    </row>
    <row r="245" spans="2:11" x14ac:dyDescent="0.3">
      <c r="B245" s="30">
        <f>IF(LoanIsGood,IF(ROW()-ROW(PaymentSchedule45[[#Headers],[PMT NO]])&gt;ScheduledNumberOfPayments,"",ROW()-ROW(PaymentSchedule45[[#Headers],[PMT NO]])),"")</f>
        <v>230</v>
      </c>
      <c r="C245" s="31">
        <f>IF(PaymentSchedule45[[#This Row],[PMT NO]]&lt;&gt;"",EOMONTH(LoanStartDate,ROW(PaymentSchedule45[[#This Row],[PMT NO]])-ROW(PaymentSchedule45[[#Headers],[PMT NO]])-2)+DAY(LoanStartDate),"")</f>
        <v>50345</v>
      </c>
      <c r="D245" s="32">
        <f>IF(PaymentSchedule45[[#This Row],[PMT NO]]&lt;&gt;"",IF(ROW()-ROW(PaymentSchedule45[[#Headers],[BEGINNING BALANCE]])=1,LoanAmount,INDEX(PaymentSchedule45[ENDING BALANCE],ROW()-ROW(PaymentSchedule45[[#Headers],[BEGINNING BALANCE]])-1)),"")</f>
        <v>103873.37641338649</v>
      </c>
      <c r="E245" s="32">
        <f>IF(PaymentSchedule45[[#This Row],[PMT NO]]&lt;&gt;"",ScheduledPayment,"")</f>
        <v>1294.2429434851008</v>
      </c>
      <c r="F24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4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45" s="32">
        <f>IF(PaymentSchedule45[[#This Row],[PMT NO]]&lt;&gt;"",PaymentSchedule45[[#This Row],[TOTAL PAYMENT]]-PaymentSchedule45[[#This Row],[INTEREST]],"")</f>
        <v>445.94370277577775</v>
      </c>
      <c r="I245" s="32">
        <f>IF(PaymentSchedule45[[#This Row],[PMT NO]]&lt;&gt;"",PaymentSchedule45[[#This Row],[BEGINNING BALANCE]]*(InterestRate/PaymentsPerYear),"")</f>
        <v>848.29924070932304</v>
      </c>
      <c r="J24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103427.43271061071</v>
      </c>
      <c r="K245" s="32">
        <f>IF(PaymentSchedule45[[#This Row],[PMT NO]]&lt;&gt;"",SUM(INDEX(PaymentSchedule45[INTEREST],1,1):PaymentSchedule45[[#This Row],[INTEREST]]),"")</f>
        <v>251103.30971218384</v>
      </c>
    </row>
    <row r="246" spans="2:11" x14ac:dyDescent="0.3">
      <c r="B246" s="30">
        <f>IF(LoanIsGood,IF(ROW()-ROW(PaymentSchedule45[[#Headers],[PMT NO]])&gt;ScheduledNumberOfPayments,"",ROW()-ROW(PaymentSchedule45[[#Headers],[PMT NO]])),"")</f>
        <v>231</v>
      </c>
      <c r="C246" s="31">
        <f>IF(PaymentSchedule45[[#This Row],[PMT NO]]&lt;&gt;"",EOMONTH(LoanStartDate,ROW(PaymentSchedule45[[#This Row],[PMT NO]])-ROW(PaymentSchedule45[[#Headers],[PMT NO]])-2)+DAY(LoanStartDate),"")</f>
        <v>50375</v>
      </c>
      <c r="D246" s="32">
        <f>IF(PaymentSchedule45[[#This Row],[PMT NO]]&lt;&gt;"",IF(ROW()-ROW(PaymentSchedule45[[#Headers],[BEGINNING BALANCE]])=1,LoanAmount,INDEX(PaymentSchedule45[ENDING BALANCE],ROW()-ROW(PaymentSchedule45[[#Headers],[BEGINNING BALANCE]])-1)),"")</f>
        <v>103427.43271061071</v>
      </c>
      <c r="E246" s="32">
        <f>IF(PaymentSchedule45[[#This Row],[PMT NO]]&lt;&gt;"",ScheduledPayment,"")</f>
        <v>1294.2429434851008</v>
      </c>
      <c r="F24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4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46" s="32">
        <f>IF(PaymentSchedule45[[#This Row],[PMT NO]]&lt;&gt;"",PaymentSchedule45[[#This Row],[TOTAL PAYMENT]]-PaymentSchedule45[[#This Row],[INTEREST]],"")</f>
        <v>449.58557634844658</v>
      </c>
      <c r="I246" s="32">
        <f>IF(PaymentSchedule45[[#This Row],[PMT NO]]&lt;&gt;"",PaymentSchedule45[[#This Row],[BEGINNING BALANCE]]*(InterestRate/PaymentsPerYear),"")</f>
        <v>844.65736713665422</v>
      </c>
      <c r="J24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102977.84713426227</v>
      </c>
      <c r="K246" s="32">
        <f>IF(PaymentSchedule45[[#This Row],[PMT NO]]&lt;&gt;"",SUM(INDEX(PaymentSchedule45[INTEREST],1,1):PaymentSchedule45[[#This Row],[INTEREST]]),"")</f>
        <v>251947.96707932049</v>
      </c>
    </row>
    <row r="247" spans="2:11" x14ac:dyDescent="0.3">
      <c r="B247" s="30">
        <f>IF(LoanIsGood,IF(ROW()-ROW(PaymentSchedule45[[#Headers],[PMT NO]])&gt;ScheduledNumberOfPayments,"",ROW()-ROW(PaymentSchedule45[[#Headers],[PMT NO]])),"")</f>
        <v>232</v>
      </c>
      <c r="C247" s="31">
        <f>IF(PaymentSchedule45[[#This Row],[PMT NO]]&lt;&gt;"",EOMONTH(LoanStartDate,ROW(PaymentSchedule45[[#This Row],[PMT NO]])-ROW(PaymentSchedule45[[#Headers],[PMT NO]])-2)+DAY(LoanStartDate),"")</f>
        <v>50406</v>
      </c>
      <c r="D247" s="32">
        <f>IF(PaymentSchedule45[[#This Row],[PMT NO]]&lt;&gt;"",IF(ROW()-ROW(PaymentSchedule45[[#Headers],[BEGINNING BALANCE]])=1,LoanAmount,INDEX(PaymentSchedule45[ENDING BALANCE],ROW()-ROW(PaymentSchedule45[[#Headers],[BEGINNING BALANCE]])-1)),"")</f>
        <v>102977.84713426227</v>
      </c>
      <c r="E247" s="32">
        <f>IF(PaymentSchedule45[[#This Row],[PMT NO]]&lt;&gt;"",ScheduledPayment,"")</f>
        <v>1294.2429434851008</v>
      </c>
      <c r="F24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4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47" s="32">
        <f>IF(PaymentSchedule45[[#This Row],[PMT NO]]&lt;&gt;"",PaymentSchedule45[[#This Row],[TOTAL PAYMENT]]-PaymentSchedule45[[#This Row],[INTEREST]],"")</f>
        <v>453.25719188862558</v>
      </c>
      <c r="I247" s="32">
        <f>IF(PaymentSchedule45[[#This Row],[PMT NO]]&lt;&gt;"",PaymentSchedule45[[#This Row],[BEGINNING BALANCE]]*(InterestRate/PaymentsPerYear),"")</f>
        <v>840.98575159647521</v>
      </c>
      <c r="J24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102524.58994237364</v>
      </c>
      <c r="K247" s="32">
        <f>IF(PaymentSchedule45[[#This Row],[PMT NO]]&lt;&gt;"",SUM(INDEX(PaymentSchedule45[INTEREST],1,1):PaymentSchedule45[[#This Row],[INTEREST]]),"")</f>
        <v>252788.95283091697</v>
      </c>
    </row>
    <row r="248" spans="2:11" x14ac:dyDescent="0.3">
      <c r="B248" s="30">
        <f>IF(LoanIsGood,IF(ROW()-ROW(PaymentSchedule45[[#Headers],[PMT NO]])&gt;ScheduledNumberOfPayments,"",ROW()-ROW(PaymentSchedule45[[#Headers],[PMT NO]])),"")</f>
        <v>233</v>
      </c>
      <c r="C248" s="31">
        <f>IF(PaymentSchedule45[[#This Row],[PMT NO]]&lt;&gt;"",EOMONTH(LoanStartDate,ROW(PaymentSchedule45[[#This Row],[PMT NO]])-ROW(PaymentSchedule45[[#Headers],[PMT NO]])-2)+DAY(LoanStartDate),"")</f>
        <v>50437</v>
      </c>
      <c r="D248" s="32">
        <f>IF(PaymentSchedule45[[#This Row],[PMT NO]]&lt;&gt;"",IF(ROW()-ROW(PaymentSchedule45[[#Headers],[BEGINNING BALANCE]])=1,LoanAmount,INDEX(PaymentSchedule45[ENDING BALANCE],ROW()-ROW(PaymentSchedule45[[#Headers],[BEGINNING BALANCE]])-1)),"")</f>
        <v>102524.58994237364</v>
      </c>
      <c r="E248" s="32">
        <f>IF(PaymentSchedule45[[#This Row],[PMT NO]]&lt;&gt;"",ScheduledPayment,"")</f>
        <v>1294.2429434851008</v>
      </c>
      <c r="F24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4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48" s="32">
        <f>IF(PaymentSchedule45[[#This Row],[PMT NO]]&lt;&gt;"",PaymentSchedule45[[#This Row],[TOTAL PAYMENT]]-PaymentSchedule45[[#This Row],[INTEREST]],"")</f>
        <v>456.95879228904926</v>
      </c>
      <c r="I248" s="32">
        <f>IF(PaymentSchedule45[[#This Row],[PMT NO]]&lt;&gt;"",PaymentSchedule45[[#This Row],[BEGINNING BALANCE]]*(InterestRate/PaymentsPerYear),"")</f>
        <v>837.28415119605154</v>
      </c>
      <c r="J24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102067.63115008459</v>
      </c>
      <c r="K248" s="32">
        <f>IF(PaymentSchedule45[[#This Row],[PMT NO]]&lt;&gt;"",SUM(INDEX(PaymentSchedule45[INTEREST],1,1):PaymentSchedule45[[#This Row],[INTEREST]]),"")</f>
        <v>253626.23698211301</v>
      </c>
    </row>
    <row r="249" spans="2:11" x14ac:dyDescent="0.3">
      <c r="B249" s="30">
        <f>IF(LoanIsGood,IF(ROW()-ROW(PaymentSchedule45[[#Headers],[PMT NO]])&gt;ScheduledNumberOfPayments,"",ROW()-ROW(PaymentSchedule45[[#Headers],[PMT NO]])),"")</f>
        <v>234</v>
      </c>
      <c r="C249" s="31">
        <f>IF(PaymentSchedule45[[#This Row],[PMT NO]]&lt;&gt;"",EOMONTH(LoanStartDate,ROW(PaymentSchedule45[[#This Row],[PMT NO]])-ROW(PaymentSchedule45[[#Headers],[PMT NO]])-2)+DAY(LoanStartDate),"")</f>
        <v>50465</v>
      </c>
      <c r="D249" s="32">
        <f>IF(PaymentSchedule45[[#This Row],[PMT NO]]&lt;&gt;"",IF(ROW()-ROW(PaymentSchedule45[[#Headers],[BEGINNING BALANCE]])=1,LoanAmount,INDEX(PaymentSchedule45[ENDING BALANCE],ROW()-ROW(PaymentSchedule45[[#Headers],[BEGINNING BALANCE]])-1)),"")</f>
        <v>102067.63115008459</v>
      </c>
      <c r="E249" s="32">
        <f>IF(PaymentSchedule45[[#This Row],[PMT NO]]&lt;&gt;"",ScheduledPayment,"")</f>
        <v>1294.2429434851008</v>
      </c>
      <c r="F24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4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49" s="32">
        <f>IF(PaymentSchedule45[[#This Row],[PMT NO]]&lt;&gt;"",PaymentSchedule45[[#This Row],[TOTAL PAYMENT]]-PaymentSchedule45[[#This Row],[INTEREST]],"")</f>
        <v>460.69062242607652</v>
      </c>
      <c r="I249" s="32">
        <f>IF(PaymentSchedule45[[#This Row],[PMT NO]]&lt;&gt;"",PaymentSchedule45[[#This Row],[BEGINNING BALANCE]]*(InterestRate/PaymentsPerYear),"")</f>
        <v>833.55232105902428</v>
      </c>
      <c r="J24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101606.94052765852</v>
      </c>
      <c r="K249" s="32">
        <f>IF(PaymentSchedule45[[#This Row],[PMT NO]]&lt;&gt;"",SUM(INDEX(PaymentSchedule45[INTEREST],1,1):PaymentSchedule45[[#This Row],[INTEREST]]),"")</f>
        <v>254459.78930317203</v>
      </c>
    </row>
    <row r="250" spans="2:11" x14ac:dyDescent="0.3">
      <c r="B250" s="30">
        <f>IF(LoanIsGood,IF(ROW()-ROW(PaymentSchedule45[[#Headers],[PMT NO]])&gt;ScheduledNumberOfPayments,"",ROW()-ROW(PaymentSchedule45[[#Headers],[PMT NO]])),"")</f>
        <v>235</v>
      </c>
      <c r="C250" s="31">
        <f>IF(PaymentSchedule45[[#This Row],[PMT NO]]&lt;&gt;"",EOMONTH(LoanStartDate,ROW(PaymentSchedule45[[#This Row],[PMT NO]])-ROW(PaymentSchedule45[[#Headers],[PMT NO]])-2)+DAY(LoanStartDate),"")</f>
        <v>50496</v>
      </c>
      <c r="D250" s="32">
        <f>IF(PaymentSchedule45[[#This Row],[PMT NO]]&lt;&gt;"",IF(ROW()-ROW(PaymentSchedule45[[#Headers],[BEGINNING BALANCE]])=1,LoanAmount,INDEX(PaymentSchedule45[ENDING BALANCE],ROW()-ROW(PaymentSchedule45[[#Headers],[BEGINNING BALANCE]])-1)),"")</f>
        <v>101606.94052765852</v>
      </c>
      <c r="E250" s="32">
        <f>IF(PaymentSchedule45[[#This Row],[PMT NO]]&lt;&gt;"",ScheduledPayment,"")</f>
        <v>1294.2429434851008</v>
      </c>
      <c r="F25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5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50" s="32">
        <f>IF(PaymentSchedule45[[#This Row],[PMT NO]]&lt;&gt;"",PaymentSchedule45[[#This Row],[TOTAL PAYMENT]]-PaymentSchedule45[[#This Row],[INTEREST]],"")</f>
        <v>464.45292917588949</v>
      </c>
      <c r="I250" s="32">
        <f>IF(PaymentSchedule45[[#This Row],[PMT NO]]&lt;&gt;"",PaymentSchedule45[[#This Row],[BEGINNING BALANCE]]*(InterestRate/PaymentsPerYear),"")</f>
        <v>829.7900143092113</v>
      </c>
      <c r="J25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101142.48759848262</v>
      </c>
      <c r="K250" s="32">
        <f>IF(PaymentSchedule45[[#This Row],[PMT NO]]&lt;&gt;"",SUM(INDEX(PaymentSchedule45[INTEREST],1,1):PaymentSchedule45[[#This Row],[INTEREST]]),"")</f>
        <v>255289.57931748123</v>
      </c>
    </row>
    <row r="251" spans="2:11" x14ac:dyDescent="0.3">
      <c r="B251" s="30">
        <f>IF(LoanIsGood,IF(ROW()-ROW(PaymentSchedule45[[#Headers],[PMT NO]])&gt;ScheduledNumberOfPayments,"",ROW()-ROW(PaymentSchedule45[[#Headers],[PMT NO]])),"")</f>
        <v>236</v>
      </c>
      <c r="C251" s="31">
        <f>IF(PaymentSchedule45[[#This Row],[PMT NO]]&lt;&gt;"",EOMONTH(LoanStartDate,ROW(PaymentSchedule45[[#This Row],[PMT NO]])-ROW(PaymentSchedule45[[#Headers],[PMT NO]])-2)+DAY(LoanStartDate),"")</f>
        <v>50526</v>
      </c>
      <c r="D251" s="32">
        <f>IF(PaymentSchedule45[[#This Row],[PMT NO]]&lt;&gt;"",IF(ROW()-ROW(PaymentSchedule45[[#Headers],[BEGINNING BALANCE]])=1,LoanAmount,INDEX(PaymentSchedule45[ENDING BALANCE],ROW()-ROW(PaymentSchedule45[[#Headers],[BEGINNING BALANCE]])-1)),"")</f>
        <v>101142.48759848262</v>
      </c>
      <c r="E251" s="32">
        <f>IF(PaymentSchedule45[[#This Row],[PMT NO]]&lt;&gt;"",ScheduledPayment,"")</f>
        <v>1294.2429434851008</v>
      </c>
      <c r="F25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5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51" s="32">
        <f>IF(PaymentSchedule45[[#This Row],[PMT NO]]&lt;&gt;"",PaymentSchedule45[[#This Row],[TOTAL PAYMENT]]-PaymentSchedule45[[#This Row],[INTEREST]],"")</f>
        <v>468.24596143082601</v>
      </c>
      <c r="I251" s="32">
        <f>IF(PaymentSchedule45[[#This Row],[PMT NO]]&lt;&gt;"",PaymentSchedule45[[#This Row],[BEGINNING BALANCE]]*(InterestRate/PaymentsPerYear),"")</f>
        <v>825.99698205427478</v>
      </c>
      <c r="J25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100674.24163705179</v>
      </c>
      <c r="K251" s="32">
        <f>IF(PaymentSchedule45[[#This Row],[PMT NO]]&lt;&gt;"",SUM(INDEX(PaymentSchedule45[INTEREST],1,1):PaymentSchedule45[[#This Row],[INTEREST]]),"")</f>
        <v>256115.57629953549</v>
      </c>
    </row>
    <row r="252" spans="2:11" x14ac:dyDescent="0.3">
      <c r="B252" s="30">
        <f>IF(LoanIsGood,IF(ROW()-ROW(PaymentSchedule45[[#Headers],[PMT NO]])&gt;ScheduledNumberOfPayments,"",ROW()-ROW(PaymentSchedule45[[#Headers],[PMT NO]])),"")</f>
        <v>237</v>
      </c>
      <c r="C252" s="31">
        <f>IF(PaymentSchedule45[[#This Row],[PMT NO]]&lt;&gt;"",EOMONTH(LoanStartDate,ROW(PaymentSchedule45[[#This Row],[PMT NO]])-ROW(PaymentSchedule45[[#Headers],[PMT NO]])-2)+DAY(LoanStartDate),"")</f>
        <v>50557</v>
      </c>
      <c r="D252" s="32">
        <f>IF(PaymentSchedule45[[#This Row],[PMT NO]]&lt;&gt;"",IF(ROW()-ROW(PaymentSchedule45[[#Headers],[BEGINNING BALANCE]])=1,LoanAmount,INDEX(PaymentSchedule45[ENDING BALANCE],ROW()-ROW(PaymentSchedule45[[#Headers],[BEGINNING BALANCE]])-1)),"")</f>
        <v>100674.24163705179</v>
      </c>
      <c r="E252" s="32">
        <f>IF(PaymentSchedule45[[#This Row],[PMT NO]]&lt;&gt;"",ScheduledPayment,"")</f>
        <v>1294.2429434851008</v>
      </c>
      <c r="F25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5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52" s="32">
        <f>IF(PaymentSchedule45[[#This Row],[PMT NO]]&lt;&gt;"",PaymentSchedule45[[#This Row],[TOTAL PAYMENT]]-PaymentSchedule45[[#This Row],[INTEREST]],"")</f>
        <v>472.0699701158444</v>
      </c>
      <c r="I252" s="32">
        <f>IF(PaymentSchedule45[[#This Row],[PMT NO]]&lt;&gt;"",PaymentSchedule45[[#This Row],[BEGINNING BALANCE]]*(InterestRate/PaymentsPerYear),"")</f>
        <v>822.1729733692564</v>
      </c>
      <c r="J25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100202.17166693594</v>
      </c>
      <c r="K252" s="32">
        <f>IF(PaymentSchedule45[[#This Row],[PMT NO]]&lt;&gt;"",SUM(INDEX(PaymentSchedule45[INTEREST],1,1):PaymentSchedule45[[#This Row],[INTEREST]]),"")</f>
        <v>256937.74927290474</v>
      </c>
    </row>
    <row r="253" spans="2:11" x14ac:dyDescent="0.3">
      <c r="B253" s="30">
        <f>IF(LoanIsGood,IF(ROW()-ROW(PaymentSchedule45[[#Headers],[PMT NO]])&gt;ScheduledNumberOfPayments,"",ROW()-ROW(PaymentSchedule45[[#Headers],[PMT NO]])),"")</f>
        <v>238</v>
      </c>
      <c r="C253" s="31">
        <f>IF(PaymentSchedule45[[#This Row],[PMT NO]]&lt;&gt;"",EOMONTH(LoanStartDate,ROW(PaymentSchedule45[[#This Row],[PMT NO]])-ROW(PaymentSchedule45[[#Headers],[PMT NO]])-2)+DAY(LoanStartDate),"")</f>
        <v>50587</v>
      </c>
      <c r="D253" s="32">
        <f>IF(PaymentSchedule45[[#This Row],[PMT NO]]&lt;&gt;"",IF(ROW()-ROW(PaymentSchedule45[[#Headers],[BEGINNING BALANCE]])=1,LoanAmount,INDEX(PaymentSchedule45[ENDING BALANCE],ROW()-ROW(PaymentSchedule45[[#Headers],[BEGINNING BALANCE]])-1)),"")</f>
        <v>100202.17166693594</v>
      </c>
      <c r="E253" s="32">
        <f>IF(PaymentSchedule45[[#This Row],[PMT NO]]&lt;&gt;"",ScheduledPayment,"")</f>
        <v>1294.2429434851008</v>
      </c>
      <c r="F25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5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53" s="32">
        <f>IF(PaymentSchedule45[[#This Row],[PMT NO]]&lt;&gt;"",PaymentSchedule45[[#This Row],[TOTAL PAYMENT]]-PaymentSchedule45[[#This Row],[INTEREST]],"")</f>
        <v>475.92520820512379</v>
      </c>
      <c r="I253" s="32">
        <f>IF(PaymentSchedule45[[#This Row],[PMT NO]]&lt;&gt;"",PaymentSchedule45[[#This Row],[BEGINNING BALANCE]]*(InterestRate/PaymentsPerYear),"")</f>
        <v>818.317735279977</v>
      </c>
      <c r="J25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99726.24645873082</v>
      </c>
      <c r="K253" s="32">
        <f>IF(PaymentSchedule45[[#This Row],[PMT NO]]&lt;&gt;"",SUM(INDEX(PaymentSchedule45[INTEREST],1,1):PaymentSchedule45[[#This Row],[INTEREST]]),"")</f>
        <v>257756.06700818471</v>
      </c>
    </row>
    <row r="254" spans="2:11" x14ac:dyDescent="0.3">
      <c r="B254" s="30">
        <f>IF(LoanIsGood,IF(ROW()-ROW(PaymentSchedule45[[#Headers],[PMT NO]])&gt;ScheduledNumberOfPayments,"",ROW()-ROW(PaymentSchedule45[[#Headers],[PMT NO]])),"")</f>
        <v>239</v>
      </c>
      <c r="C254" s="31">
        <f>IF(PaymentSchedule45[[#This Row],[PMT NO]]&lt;&gt;"",EOMONTH(LoanStartDate,ROW(PaymentSchedule45[[#This Row],[PMT NO]])-ROW(PaymentSchedule45[[#Headers],[PMT NO]])-2)+DAY(LoanStartDate),"")</f>
        <v>50618</v>
      </c>
      <c r="D254" s="32">
        <f>IF(PaymentSchedule45[[#This Row],[PMT NO]]&lt;&gt;"",IF(ROW()-ROW(PaymentSchedule45[[#Headers],[BEGINNING BALANCE]])=1,LoanAmount,INDEX(PaymentSchedule45[ENDING BALANCE],ROW()-ROW(PaymentSchedule45[[#Headers],[BEGINNING BALANCE]])-1)),"")</f>
        <v>99726.24645873082</v>
      </c>
      <c r="E254" s="32">
        <f>IF(PaymentSchedule45[[#This Row],[PMT NO]]&lt;&gt;"",ScheduledPayment,"")</f>
        <v>1294.2429434851008</v>
      </c>
      <c r="F25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5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54" s="32">
        <f>IF(PaymentSchedule45[[#This Row],[PMT NO]]&lt;&gt;"",PaymentSchedule45[[#This Row],[TOTAL PAYMENT]]-PaymentSchedule45[[#This Row],[INTEREST]],"")</f>
        <v>479.81193073879899</v>
      </c>
      <c r="I254" s="32">
        <f>IF(PaymentSchedule45[[#This Row],[PMT NO]]&lt;&gt;"",PaymentSchedule45[[#This Row],[BEGINNING BALANCE]]*(InterestRate/PaymentsPerYear),"")</f>
        <v>814.4310127463018</v>
      </c>
      <c r="J25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99246.434527992024</v>
      </c>
      <c r="K254" s="32">
        <f>IF(PaymentSchedule45[[#This Row],[PMT NO]]&lt;&gt;"",SUM(INDEX(PaymentSchedule45[INTEREST],1,1):PaymentSchedule45[[#This Row],[INTEREST]]),"")</f>
        <v>258570.498020931</v>
      </c>
    </row>
    <row r="255" spans="2:11" x14ac:dyDescent="0.3">
      <c r="B255" s="30">
        <f>IF(LoanIsGood,IF(ROW()-ROW(PaymentSchedule45[[#Headers],[PMT NO]])&gt;ScheduledNumberOfPayments,"",ROW()-ROW(PaymentSchedule45[[#Headers],[PMT NO]])),"")</f>
        <v>240</v>
      </c>
      <c r="C255" s="31">
        <f>IF(PaymentSchedule45[[#This Row],[PMT NO]]&lt;&gt;"",EOMONTH(LoanStartDate,ROW(PaymentSchedule45[[#This Row],[PMT NO]])-ROW(PaymentSchedule45[[#Headers],[PMT NO]])-2)+DAY(LoanStartDate),"")</f>
        <v>50649</v>
      </c>
      <c r="D255" s="32">
        <f>IF(PaymentSchedule45[[#This Row],[PMT NO]]&lt;&gt;"",IF(ROW()-ROW(PaymentSchedule45[[#Headers],[BEGINNING BALANCE]])=1,LoanAmount,INDEX(PaymentSchedule45[ENDING BALANCE],ROW()-ROW(PaymentSchedule45[[#Headers],[BEGINNING BALANCE]])-1)),"")</f>
        <v>99246.434527992024</v>
      </c>
      <c r="E255" s="32">
        <f>IF(PaymentSchedule45[[#This Row],[PMT NO]]&lt;&gt;"",ScheduledPayment,"")</f>
        <v>1294.2429434851008</v>
      </c>
      <c r="F25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5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55" s="32">
        <f>IF(PaymentSchedule45[[#This Row],[PMT NO]]&lt;&gt;"",PaymentSchedule45[[#This Row],[TOTAL PAYMENT]]-PaymentSchedule45[[#This Row],[INTEREST]],"")</f>
        <v>483.73039483983257</v>
      </c>
      <c r="I255" s="32">
        <f>IF(PaymentSchedule45[[#This Row],[PMT NO]]&lt;&gt;"",PaymentSchedule45[[#This Row],[BEGINNING BALANCE]]*(InterestRate/PaymentsPerYear),"")</f>
        <v>810.51254864526823</v>
      </c>
      <c r="J25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98762.70413315219</v>
      </c>
      <c r="K255" s="32">
        <f>IF(PaymentSchedule45[[#This Row],[PMT NO]]&lt;&gt;"",SUM(INDEX(PaymentSchedule45[INTEREST],1,1):PaymentSchedule45[[#This Row],[INTEREST]]),"")</f>
        <v>259381.01056957626</v>
      </c>
    </row>
    <row r="256" spans="2:11" x14ac:dyDescent="0.3">
      <c r="B256" s="30">
        <f>IF(LoanIsGood,IF(ROW()-ROW(PaymentSchedule45[[#Headers],[PMT NO]])&gt;ScheduledNumberOfPayments,"",ROW()-ROW(PaymentSchedule45[[#Headers],[PMT NO]])),"")</f>
        <v>241</v>
      </c>
      <c r="C256" s="31">
        <f>IF(PaymentSchedule45[[#This Row],[PMT NO]]&lt;&gt;"",EOMONTH(LoanStartDate,ROW(PaymentSchedule45[[#This Row],[PMT NO]])-ROW(PaymentSchedule45[[#Headers],[PMT NO]])-2)+DAY(LoanStartDate),"")</f>
        <v>50679</v>
      </c>
      <c r="D256" s="32">
        <f>IF(PaymentSchedule45[[#This Row],[PMT NO]]&lt;&gt;"",IF(ROW()-ROW(PaymentSchedule45[[#Headers],[BEGINNING BALANCE]])=1,LoanAmount,INDEX(PaymentSchedule45[ENDING BALANCE],ROW()-ROW(PaymentSchedule45[[#Headers],[BEGINNING BALANCE]])-1)),"")</f>
        <v>98762.70413315219</v>
      </c>
      <c r="E256" s="32">
        <f>IF(PaymentSchedule45[[#This Row],[PMT NO]]&lt;&gt;"",ScheduledPayment,"")</f>
        <v>1294.2429434851008</v>
      </c>
      <c r="F25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5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56" s="32">
        <f>IF(PaymentSchedule45[[#This Row],[PMT NO]]&lt;&gt;"",PaymentSchedule45[[#This Row],[TOTAL PAYMENT]]-PaymentSchedule45[[#This Row],[INTEREST]],"")</f>
        <v>487.6808597310245</v>
      </c>
      <c r="I256" s="32">
        <f>IF(PaymentSchedule45[[#This Row],[PMT NO]]&lt;&gt;"",PaymentSchedule45[[#This Row],[BEGINNING BALANCE]]*(InterestRate/PaymentsPerYear),"")</f>
        <v>806.5620837540763</v>
      </c>
      <c r="J25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98275.02327342116</v>
      </c>
      <c r="K256" s="32">
        <f>IF(PaymentSchedule45[[#This Row],[PMT NO]]&lt;&gt;"",SUM(INDEX(PaymentSchedule45[INTEREST],1,1):PaymentSchedule45[[#This Row],[INTEREST]]),"")</f>
        <v>260187.57265333034</v>
      </c>
    </row>
    <row r="257" spans="2:11" x14ac:dyDescent="0.3">
      <c r="B257" s="30">
        <f>IF(LoanIsGood,IF(ROW()-ROW(PaymentSchedule45[[#Headers],[PMT NO]])&gt;ScheduledNumberOfPayments,"",ROW()-ROW(PaymentSchedule45[[#Headers],[PMT NO]])),"")</f>
        <v>242</v>
      </c>
      <c r="C257" s="31">
        <f>IF(PaymentSchedule45[[#This Row],[PMT NO]]&lt;&gt;"",EOMONTH(LoanStartDate,ROW(PaymentSchedule45[[#This Row],[PMT NO]])-ROW(PaymentSchedule45[[#Headers],[PMT NO]])-2)+DAY(LoanStartDate),"")</f>
        <v>50710</v>
      </c>
      <c r="D257" s="32">
        <f>IF(PaymentSchedule45[[#This Row],[PMT NO]]&lt;&gt;"",IF(ROW()-ROW(PaymentSchedule45[[#Headers],[BEGINNING BALANCE]])=1,LoanAmount,INDEX(PaymentSchedule45[ENDING BALANCE],ROW()-ROW(PaymentSchedule45[[#Headers],[BEGINNING BALANCE]])-1)),"")</f>
        <v>98275.02327342116</v>
      </c>
      <c r="E257" s="32">
        <f>IF(PaymentSchedule45[[#This Row],[PMT NO]]&lt;&gt;"",ScheduledPayment,"")</f>
        <v>1294.2429434851008</v>
      </c>
      <c r="F25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5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57" s="32">
        <f>IF(PaymentSchedule45[[#This Row],[PMT NO]]&lt;&gt;"",PaymentSchedule45[[#This Row],[TOTAL PAYMENT]]-PaymentSchedule45[[#This Row],[INTEREST]],"")</f>
        <v>491.66358675216122</v>
      </c>
      <c r="I257" s="32">
        <f>IF(PaymentSchedule45[[#This Row],[PMT NO]]&lt;&gt;"",PaymentSchedule45[[#This Row],[BEGINNING BALANCE]]*(InterestRate/PaymentsPerYear),"")</f>
        <v>802.57935673293957</v>
      </c>
      <c r="J25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97783.359686669006</v>
      </c>
      <c r="K257" s="32">
        <f>IF(PaymentSchedule45[[#This Row],[PMT NO]]&lt;&gt;"",SUM(INDEX(PaymentSchedule45[INTEREST],1,1):PaymentSchedule45[[#This Row],[INTEREST]]),"")</f>
        <v>260990.15201006329</v>
      </c>
    </row>
    <row r="258" spans="2:11" x14ac:dyDescent="0.3">
      <c r="B258" s="30">
        <f>IF(LoanIsGood,IF(ROW()-ROW(PaymentSchedule45[[#Headers],[PMT NO]])&gt;ScheduledNumberOfPayments,"",ROW()-ROW(PaymentSchedule45[[#Headers],[PMT NO]])),"")</f>
        <v>243</v>
      </c>
      <c r="C258" s="31">
        <f>IF(PaymentSchedule45[[#This Row],[PMT NO]]&lt;&gt;"",EOMONTH(LoanStartDate,ROW(PaymentSchedule45[[#This Row],[PMT NO]])-ROW(PaymentSchedule45[[#Headers],[PMT NO]])-2)+DAY(LoanStartDate),"")</f>
        <v>50740</v>
      </c>
      <c r="D258" s="32">
        <f>IF(PaymentSchedule45[[#This Row],[PMT NO]]&lt;&gt;"",IF(ROW()-ROW(PaymentSchedule45[[#Headers],[BEGINNING BALANCE]])=1,LoanAmount,INDEX(PaymentSchedule45[ENDING BALANCE],ROW()-ROW(PaymentSchedule45[[#Headers],[BEGINNING BALANCE]])-1)),"")</f>
        <v>97783.359686669006</v>
      </c>
      <c r="E258" s="32">
        <f>IF(PaymentSchedule45[[#This Row],[PMT NO]]&lt;&gt;"",ScheduledPayment,"")</f>
        <v>1294.2429434851008</v>
      </c>
      <c r="F25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5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58" s="32">
        <f>IF(PaymentSchedule45[[#This Row],[PMT NO]]&lt;&gt;"",PaymentSchedule45[[#This Row],[TOTAL PAYMENT]]-PaymentSchedule45[[#This Row],[INTEREST]],"")</f>
        <v>495.6788393773038</v>
      </c>
      <c r="I258" s="32">
        <f>IF(PaymentSchedule45[[#This Row],[PMT NO]]&lt;&gt;"",PaymentSchedule45[[#This Row],[BEGINNING BALANCE]]*(InterestRate/PaymentsPerYear),"")</f>
        <v>798.56410410779699</v>
      </c>
      <c r="J25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97287.680847291704</v>
      </c>
      <c r="K258" s="32">
        <f>IF(PaymentSchedule45[[#This Row],[PMT NO]]&lt;&gt;"",SUM(INDEX(PaymentSchedule45[INTEREST],1,1):PaymentSchedule45[[#This Row],[INTEREST]]),"")</f>
        <v>261788.71611417108</v>
      </c>
    </row>
    <row r="259" spans="2:11" x14ac:dyDescent="0.3">
      <c r="B259" s="30">
        <f>IF(LoanIsGood,IF(ROW()-ROW(PaymentSchedule45[[#Headers],[PMT NO]])&gt;ScheduledNumberOfPayments,"",ROW()-ROW(PaymentSchedule45[[#Headers],[PMT NO]])),"")</f>
        <v>244</v>
      </c>
      <c r="C259" s="31">
        <f>IF(PaymentSchedule45[[#This Row],[PMT NO]]&lt;&gt;"",EOMONTH(LoanStartDate,ROW(PaymentSchedule45[[#This Row],[PMT NO]])-ROW(PaymentSchedule45[[#Headers],[PMT NO]])-2)+DAY(LoanStartDate),"")</f>
        <v>50771</v>
      </c>
      <c r="D259" s="32">
        <f>IF(PaymentSchedule45[[#This Row],[PMT NO]]&lt;&gt;"",IF(ROW()-ROW(PaymentSchedule45[[#Headers],[BEGINNING BALANCE]])=1,LoanAmount,INDEX(PaymentSchedule45[ENDING BALANCE],ROW()-ROW(PaymentSchedule45[[#Headers],[BEGINNING BALANCE]])-1)),"")</f>
        <v>97287.680847291704</v>
      </c>
      <c r="E259" s="32">
        <f>IF(PaymentSchedule45[[#This Row],[PMT NO]]&lt;&gt;"",ScheduledPayment,"")</f>
        <v>1294.2429434851008</v>
      </c>
      <c r="F25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5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59" s="32">
        <f>IF(PaymentSchedule45[[#This Row],[PMT NO]]&lt;&gt;"",PaymentSchedule45[[#This Row],[TOTAL PAYMENT]]-PaymentSchedule45[[#This Row],[INTEREST]],"")</f>
        <v>499.72688323221848</v>
      </c>
      <c r="I259" s="32">
        <f>IF(PaymentSchedule45[[#This Row],[PMT NO]]&lt;&gt;"",PaymentSchedule45[[#This Row],[BEGINNING BALANCE]]*(InterestRate/PaymentsPerYear),"")</f>
        <v>794.51606025288231</v>
      </c>
      <c r="J25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96787.953964059488</v>
      </c>
      <c r="K259" s="32">
        <f>IF(PaymentSchedule45[[#This Row],[PMT NO]]&lt;&gt;"",SUM(INDEX(PaymentSchedule45[INTEREST],1,1):PaymentSchedule45[[#This Row],[INTEREST]]),"")</f>
        <v>262583.23217442399</v>
      </c>
    </row>
    <row r="260" spans="2:11" x14ac:dyDescent="0.3">
      <c r="B260" s="30">
        <f>IF(LoanIsGood,IF(ROW()-ROW(PaymentSchedule45[[#Headers],[PMT NO]])&gt;ScheduledNumberOfPayments,"",ROW()-ROW(PaymentSchedule45[[#Headers],[PMT NO]])),"")</f>
        <v>245</v>
      </c>
      <c r="C260" s="31">
        <f>IF(PaymentSchedule45[[#This Row],[PMT NO]]&lt;&gt;"",EOMONTH(LoanStartDate,ROW(PaymentSchedule45[[#This Row],[PMT NO]])-ROW(PaymentSchedule45[[#Headers],[PMT NO]])-2)+DAY(LoanStartDate),"")</f>
        <v>50802</v>
      </c>
      <c r="D260" s="32">
        <f>IF(PaymentSchedule45[[#This Row],[PMT NO]]&lt;&gt;"",IF(ROW()-ROW(PaymentSchedule45[[#Headers],[BEGINNING BALANCE]])=1,LoanAmount,INDEX(PaymentSchedule45[ENDING BALANCE],ROW()-ROW(PaymentSchedule45[[#Headers],[BEGINNING BALANCE]])-1)),"")</f>
        <v>96787.953964059488</v>
      </c>
      <c r="E260" s="32">
        <f>IF(PaymentSchedule45[[#This Row],[PMT NO]]&lt;&gt;"",ScheduledPayment,"")</f>
        <v>1294.2429434851008</v>
      </c>
      <c r="F26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6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60" s="32">
        <f>IF(PaymentSchedule45[[#This Row],[PMT NO]]&lt;&gt;"",PaymentSchedule45[[#This Row],[TOTAL PAYMENT]]-PaymentSchedule45[[#This Row],[INTEREST]],"")</f>
        <v>503.80798611194825</v>
      </c>
      <c r="I260" s="32">
        <f>IF(PaymentSchedule45[[#This Row],[PMT NO]]&lt;&gt;"",PaymentSchedule45[[#This Row],[BEGINNING BALANCE]]*(InterestRate/PaymentsPerYear),"")</f>
        <v>790.43495737315254</v>
      </c>
      <c r="J26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96284.145977947541</v>
      </c>
      <c r="K260" s="32">
        <f>IF(PaymentSchedule45[[#This Row],[PMT NO]]&lt;&gt;"",SUM(INDEX(PaymentSchedule45[INTEREST],1,1):PaymentSchedule45[[#This Row],[INTEREST]]),"")</f>
        <v>263373.66713179712</v>
      </c>
    </row>
    <row r="261" spans="2:11" x14ac:dyDescent="0.3">
      <c r="B261" s="30">
        <f>IF(LoanIsGood,IF(ROW()-ROW(PaymentSchedule45[[#Headers],[PMT NO]])&gt;ScheduledNumberOfPayments,"",ROW()-ROW(PaymentSchedule45[[#Headers],[PMT NO]])),"")</f>
        <v>246</v>
      </c>
      <c r="C261" s="31">
        <f>IF(PaymentSchedule45[[#This Row],[PMT NO]]&lt;&gt;"",EOMONTH(LoanStartDate,ROW(PaymentSchedule45[[#This Row],[PMT NO]])-ROW(PaymentSchedule45[[#Headers],[PMT NO]])-2)+DAY(LoanStartDate),"")</f>
        <v>50830</v>
      </c>
      <c r="D261" s="32">
        <f>IF(PaymentSchedule45[[#This Row],[PMT NO]]&lt;&gt;"",IF(ROW()-ROW(PaymentSchedule45[[#Headers],[BEGINNING BALANCE]])=1,LoanAmount,INDEX(PaymentSchedule45[ENDING BALANCE],ROW()-ROW(PaymentSchedule45[[#Headers],[BEGINNING BALANCE]])-1)),"")</f>
        <v>96284.145977947541</v>
      </c>
      <c r="E261" s="32">
        <f>IF(PaymentSchedule45[[#This Row],[PMT NO]]&lt;&gt;"",ScheduledPayment,"")</f>
        <v>1294.2429434851008</v>
      </c>
      <c r="F26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6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61" s="32">
        <f>IF(PaymentSchedule45[[#This Row],[PMT NO]]&lt;&gt;"",PaymentSchedule45[[#This Row],[TOTAL PAYMENT]]-PaymentSchedule45[[#This Row],[INTEREST]],"")</f>
        <v>507.92241799852911</v>
      </c>
      <c r="I261" s="32">
        <f>IF(PaymentSchedule45[[#This Row],[PMT NO]]&lt;&gt;"",PaymentSchedule45[[#This Row],[BEGINNING BALANCE]]*(InterestRate/PaymentsPerYear),"")</f>
        <v>786.32052548657168</v>
      </c>
      <c r="J26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95776.223559949009</v>
      </c>
      <c r="K261" s="32">
        <f>IF(PaymentSchedule45[[#This Row],[PMT NO]]&lt;&gt;"",SUM(INDEX(PaymentSchedule45[INTEREST],1,1):PaymentSchedule45[[#This Row],[INTEREST]]),"")</f>
        <v>264159.98765728367</v>
      </c>
    </row>
    <row r="262" spans="2:11" x14ac:dyDescent="0.3">
      <c r="B262" s="30">
        <f>IF(LoanIsGood,IF(ROW()-ROW(PaymentSchedule45[[#Headers],[PMT NO]])&gt;ScheduledNumberOfPayments,"",ROW()-ROW(PaymentSchedule45[[#Headers],[PMT NO]])),"")</f>
        <v>247</v>
      </c>
      <c r="C262" s="31">
        <f>IF(PaymentSchedule45[[#This Row],[PMT NO]]&lt;&gt;"",EOMONTH(LoanStartDate,ROW(PaymentSchedule45[[#This Row],[PMT NO]])-ROW(PaymentSchedule45[[#Headers],[PMT NO]])-2)+DAY(LoanStartDate),"")</f>
        <v>50861</v>
      </c>
      <c r="D262" s="32">
        <f>IF(PaymentSchedule45[[#This Row],[PMT NO]]&lt;&gt;"",IF(ROW()-ROW(PaymentSchedule45[[#Headers],[BEGINNING BALANCE]])=1,LoanAmount,INDEX(PaymentSchedule45[ENDING BALANCE],ROW()-ROW(PaymentSchedule45[[#Headers],[BEGINNING BALANCE]])-1)),"")</f>
        <v>95776.223559949009</v>
      </c>
      <c r="E262" s="32">
        <f>IF(PaymentSchedule45[[#This Row],[PMT NO]]&lt;&gt;"",ScheduledPayment,"")</f>
        <v>1294.2429434851008</v>
      </c>
      <c r="F26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6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62" s="32">
        <f>IF(PaymentSchedule45[[#This Row],[PMT NO]]&lt;&gt;"",PaymentSchedule45[[#This Row],[TOTAL PAYMENT]]-PaymentSchedule45[[#This Row],[INTEREST]],"")</f>
        <v>512.07045107885051</v>
      </c>
      <c r="I262" s="32">
        <f>IF(PaymentSchedule45[[#This Row],[PMT NO]]&lt;&gt;"",PaymentSchedule45[[#This Row],[BEGINNING BALANCE]]*(InterestRate/PaymentsPerYear),"")</f>
        <v>782.17249240625029</v>
      </c>
      <c r="J26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95264.153108870159</v>
      </c>
      <c r="K262" s="32">
        <f>IF(PaymentSchedule45[[#This Row],[PMT NO]]&lt;&gt;"",SUM(INDEX(PaymentSchedule45[INTEREST],1,1):PaymentSchedule45[[#This Row],[INTEREST]]),"")</f>
        <v>264942.16014968994</v>
      </c>
    </row>
    <row r="263" spans="2:11" x14ac:dyDescent="0.3">
      <c r="B263" s="30">
        <f>IF(LoanIsGood,IF(ROW()-ROW(PaymentSchedule45[[#Headers],[PMT NO]])&gt;ScheduledNumberOfPayments,"",ROW()-ROW(PaymentSchedule45[[#Headers],[PMT NO]])),"")</f>
        <v>248</v>
      </c>
      <c r="C263" s="31">
        <f>IF(PaymentSchedule45[[#This Row],[PMT NO]]&lt;&gt;"",EOMONTH(LoanStartDate,ROW(PaymentSchedule45[[#This Row],[PMT NO]])-ROW(PaymentSchedule45[[#Headers],[PMT NO]])-2)+DAY(LoanStartDate),"")</f>
        <v>50891</v>
      </c>
      <c r="D263" s="32">
        <f>IF(PaymentSchedule45[[#This Row],[PMT NO]]&lt;&gt;"",IF(ROW()-ROW(PaymentSchedule45[[#Headers],[BEGINNING BALANCE]])=1,LoanAmount,INDEX(PaymentSchedule45[ENDING BALANCE],ROW()-ROW(PaymentSchedule45[[#Headers],[BEGINNING BALANCE]])-1)),"")</f>
        <v>95264.153108870159</v>
      </c>
      <c r="E263" s="32">
        <f>IF(PaymentSchedule45[[#This Row],[PMT NO]]&lt;&gt;"",ScheduledPayment,"")</f>
        <v>1294.2429434851008</v>
      </c>
      <c r="F26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6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63" s="32">
        <f>IF(PaymentSchedule45[[#This Row],[PMT NO]]&lt;&gt;"",PaymentSchedule45[[#This Row],[TOTAL PAYMENT]]-PaymentSchedule45[[#This Row],[INTEREST]],"")</f>
        <v>516.25235976266106</v>
      </c>
      <c r="I263" s="32">
        <f>IF(PaymentSchedule45[[#This Row],[PMT NO]]&lt;&gt;"",PaymentSchedule45[[#This Row],[BEGINNING BALANCE]]*(InterestRate/PaymentsPerYear),"")</f>
        <v>777.99058372243974</v>
      </c>
      <c r="J26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94747.900749107503</v>
      </c>
      <c r="K263" s="32">
        <f>IF(PaymentSchedule45[[#This Row],[PMT NO]]&lt;&gt;"",SUM(INDEX(PaymentSchedule45[INTEREST],1,1):PaymentSchedule45[[#This Row],[INTEREST]]),"")</f>
        <v>265720.15073341236</v>
      </c>
    </row>
    <row r="264" spans="2:11" x14ac:dyDescent="0.3">
      <c r="B264" s="30">
        <f>IF(LoanIsGood,IF(ROW()-ROW(PaymentSchedule45[[#Headers],[PMT NO]])&gt;ScheduledNumberOfPayments,"",ROW()-ROW(PaymentSchedule45[[#Headers],[PMT NO]])),"")</f>
        <v>249</v>
      </c>
      <c r="C264" s="31">
        <f>IF(PaymentSchedule45[[#This Row],[PMT NO]]&lt;&gt;"",EOMONTH(LoanStartDate,ROW(PaymentSchedule45[[#This Row],[PMT NO]])-ROW(PaymentSchedule45[[#Headers],[PMT NO]])-2)+DAY(LoanStartDate),"")</f>
        <v>50922</v>
      </c>
      <c r="D264" s="32">
        <f>IF(PaymentSchedule45[[#This Row],[PMT NO]]&lt;&gt;"",IF(ROW()-ROW(PaymentSchedule45[[#Headers],[BEGINNING BALANCE]])=1,LoanAmount,INDEX(PaymentSchedule45[ENDING BALANCE],ROW()-ROW(PaymentSchedule45[[#Headers],[BEGINNING BALANCE]])-1)),"")</f>
        <v>94747.900749107503</v>
      </c>
      <c r="E264" s="32">
        <f>IF(PaymentSchedule45[[#This Row],[PMT NO]]&lt;&gt;"",ScheduledPayment,"")</f>
        <v>1294.2429434851008</v>
      </c>
      <c r="F26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6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64" s="32">
        <f>IF(PaymentSchedule45[[#This Row],[PMT NO]]&lt;&gt;"",PaymentSchedule45[[#This Row],[TOTAL PAYMENT]]-PaymentSchedule45[[#This Row],[INTEREST]],"")</f>
        <v>520.46842070072273</v>
      </c>
      <c r="I264" s="32">
        <f>IF(PaymentSchedule45[[#This Row],[PMT NO]]&lt;&gt;"",PaymentSchedule45[[#This Row],[BEGINNING BALANCE]]*(InterestRate/PaymentsPerYear),"")</f>
        <v>773.77452278437806</v>
      </c>
      <c r="J26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94227.43232840678</v>
      </c>
      <c r="K264" s="32">
        <f>IF(PaymentSchedule45[[#This Row],[PMT NO]]&lt;&gt;"",SUM(INDEX(PaymentSchedule45[INTEREST],1,1):PaymentSchedule45[[#This Row],[INTEREST]]),"")</f>
        <v>266493.92525619676</v>
      </c>
    </row>
    <row r="265" spans="2:11" x14ac:dyDescent="0.3">
      <c r="B265" s="30">
        <f>IF(LoanIsGood,IF(ROW()-ROW(PaymentSchedule45[[#Headers],[PMT NO]])&gt;ScheduledNumberOfPayments,"",ROW()-ROW(PaymentSchedule45[[#Headers],[PMT NO]])),"")</f>
        <v>250</v>
      </c>
      <c r="C265" s="31">
        <f>IF(PaymentSchedule45[[#This Row],[PMT NO]]&lt;&gt;"",EOMONTH(LoanStartDate,ROW(PaymentSchedule45[[#This Row],[PMT NO]])-ROW(PaymentSchedule45[[#Headers],[PMT NO]])-2)+DAY(LoanStartDate),"")</f>
        <v>50952</v>
      </c>
      <c r="D265" s="32">
        <f>IF(PaymentSchedule45[[#This Row],[PMT NO]]&lt;&gt;"",IF(ROW()-ROW(PaymentSchedule45[[#Headers],[BEGINNING BALANCE]])=1,LoanAmount,INDEX(PaymentSchedule45[ENDING BALANCE],ROW()-ROW(PaymentSchedule45[[#Headers],[BEGINNING BALANCE]])-1)),"")</f>
        <v>94227.43232840678</v>
      </c>
      <c r="E265" s="32">
        <f>IF(PaymentSchedule45[[#This Row],[PMT NO]]&lt;&gt;"",ScheduledPayment,"")</f>
        <v>1294.2429434851008</v>
      </c>
      <c r="F26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6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65" s="32">
        <f>IF(PaymentSchedule45[[#This Row],[PMT NO]]&lt;&gt;"",PaymentSchedule45[[#This Row],[TOTAL PAYMENT]]-PaymentSchedule45[[#This Row],[INTEREST]],"")</f>
        <v>524.71891280311206</v>
      </c>
      <c r="I265" s="32">
        <f>IF(PaymentSchedule45[[#This Row],[PMT NO]]&lt;&gt;"",PaymentSchedule45[[#This Row],[BEGINNING BALANCE]]*(InterestRate/PaymentsPerYear),"")</f>
        <v>769.52403068198873</v>
      </c>
      <c r="J26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93702.713415603663</v>
      </c>
      <c r="K265" s="32">
        <f>IF(PaymentSchedule45[[#This Row],[PMT NO]]&lt;&gt;"",SUM(INDEX(PaymentSchedule45[INTEREST],1,1):PaymentSchedule45[[#This Row],[INTEREST]]),"")</f>
        <v>267263.44928687875</v>
      </c>
    </row>
    <row r="266" spans="2:11" x14ac:dyDescent="0.3">
      <c r="B266" s="30">
        <f>IF(LoanIsGood,IF(ROW()-ROW(PaymentSchedule45[[#Headers],[PMT NO]])&gt;ScheduledNumberOfPayments,"",ROW()-ROW(PaymentSchedule45[[#Headers],[PMT NO]])),"")</f>
        <v>251</v>
      </c>
      <c r="C266" s="31">
        <f>IF(PaymentSchedule45[[#This Row],[PMT NO]]&lt;&gt;"",EOMONTH(LoanStartDate,ROW(PaymentSchedule45[[#This Row],[PMT NO]])-ROW(PaymentSchedule45[[#Headers],[PMT NO]])-2)+DAY(LoanStartDate),"")</f>
        <v>50983</v>
      </c>
      <c r="D266" s="32">
        <f>IF(PaymentSchedule45[[#This Row],[PMT NO]]&lt;&gt;"",IF(ROW()-ROW(PaymentSchedule45[[#Headers],[BEGINNING BALANCE]])=1,LoanAmount,INDEX(PaymentSchedule45[ENDING BALANCE],ROW()-ROW(PaymentSchedule45[[#Headers],[BEGINNING BALANCE]])-1)),"")</f>
        <v>93702.713415603663</v>
      </c>
      <c r="E266" s="32">
        <f>IF(PaymentSchedule45[[#This Row],[PMT NO]]&lt;&gt;"",ScheduledPayment,"")</f>
        <v>1294.2429434851008</v>
      </c>
      <c r="F26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6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66" s="32">
        <f>IF(PaymentSchedule45[[#This Row],[PMT NO]]&lt;&gt;"",PaymentSchedule45[[#This Row],[TOTAL PAYMENT]]-PaymentSchedule45[[#This Row],[INTEREST]],"")</f>
        <v>529.00411725767083</v>
      </c>
      <c r="I266" s="32">
        <f>IF(PaymentSchedule45[[#This Row],[PMT NO]]&lt;&gt;"",PaymentSchedule45[[#This Row],[BEGINNING BALANCE]]*(InterestRate/PaymentsPerYear),"")</f>
        <v>765.23882622742997</v>
      </c>
      <c r="J26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93173.709298345988</v>
      </c>
      <c r="K266" s="32">
        <f>IF(PaymentSchedule45[[#This Row],[PMT NO]]&lt;&gt;"",SUM(INDEX(PaymentSchedule45[INTEREST],1,1):PaymentSchedule45[[#This Row],[INTEREST]]),"")</f>
        <v>268028.68811310618</v>
      </c>
    </row>
    <row r="267" spans="2:11" x14ac:dyDescent="0.3">
      <c r="B267" s="30">
        <f>IF(LoanIsGood,IF(ROW()-ROW(PaymentSchedule45[[#Headers],[PMT NO]])&gt;ScheduledNumberOfPayments,"",ROW()-ROW(PaymentSchedule45[[#Headers],[PMT NO]])),"")</f>
        <v>252</v>
      </c>
      <c r="C267" s="31">
        <f>IF(PaymentSchedule45[[#This Row],[PMT NO]]&lt;&gt;"",EOMONTH(LoanStartDate,ROW(PaymentSchedule45[[#This Row],[PMT NO]])-ROW(PaymentSchedule45[[#Headers],[PMT NO]])-2)+DAY(LoanStartDate),"")</f>
        <v>51014</v>
      </c>
      <c r="D267" s="32">
        <f>IF(PaymentSchedule45[[#This Row],[PMT NO]]&lt;&gt;"",IF(ROW()-ROW(PaymentSchedule45[[#Headers],[BEGINNING BALANCE]])=1,LoanAmount,INDEX(PaymentSchedule45[ENDING BALANCE],ROW()-ROW(PaymentSchedule45[[#Headers],[BEGINNING BALANCE]])-1)),"")</f>
        <v>93173.709298345988</v>
      </c>
      <c r="E267" s="32">
        <f>IF(PaymentSchedule45[[#This Row],[PMT NO]]&lt;&gt;"",ScheduledPayment,"")</f>
        <v>1294.2429434851008</v>
      </c>
      <c r="F26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6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67" s="32">
        <f>IF(PaymentSchedule45[[#This Row],[PMT NO]]&lt;&gt;"",PaymentSchedule45[[#This Row],[TOTAL PAYMENT]]-PaymentSchedule45[[#This Row],[INTEREST]],"")</f>
        <v>533.32431754860852</v>
      </c>
      <c r="I267" s="32">
        <f>IF(PaymentSchedule45[[#This Row],[PMT NO]]&lt;&gt;"",PaymentSchedule45[[#This Row],[BEGINNING BALANCE]]*(InterestRate/PaymentsPerYear),"")</f>
        <v>760.91862593649228</v>
      </c>
      <c r="J26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92640.384980797375</v>
      </c>
      <c r="K267" s="32">
        <f>IF(PaymentSchedule45[[#This Row],[PMT NO]]&lt;&gt;"",SUM(INDEX(PaymentSchedule45[INTEREST],1,1):PaymentSchedule45[[#This Row],[INTEREST]]),"")</f>
        <v>268789.60673904268</v>
      </c>
    </row>
    <row r="268" spans="2:11" x14ac:dyDescent="0.3">
      <c r="B268" s="30">
        <f>IF(LoanIsGood,IF(ROW()-ROW(PaymentSchedule45[[#Headers],[PMT NO]])&gt;ScheduledNumberOfPayments,"",ROW()-ROW(PaymentSchedule45[[#Headers],[PMT NO]])),"")</f>
        <v>253</v>
      </c>
      <c r="C268" s="31">
        <f>IF(PaymentSchedule45[[#This Row],[PMT NO]]&lt;&gt;"",EOMONTH(LoanStartDate,ROW(PaymentSchedule45[[#This Row],[PMT NO]])-ROW(PaymentSchedule45[[#Headers],[PMT NO]])-2)+DAY(LoanStartDate),"")</f>
        <v>51044</v>
      </c>
      <c r="D268" s="32">
        <f>IF(PaymentSchedule45[[#This Row],[PMT NO]]&lt;&gt;"",IF(ROW()-ROW(PaymentSchedule45[[#Headers],[BEGINNING BALANCE]])=1,LoanAmount,INDEX(PaymentSchedule45[ENDING BALANCE],ROW()-ROW(PaymentSchedule45[[#Headers],[BEGINNING BALANCE]])-1)),"")</f>
        <v>92640.384980797375</v>
      </c>
      <c r="E268" s="32">
        <f>IF(PaymentSchedule45[[#This Row],[PMT NO]]&lt;&gt;"",ScheduledPayment,"")</f>
        <v>1294.2429434851008</v>
      </c>
      <c r="F26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6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68" s="32">
        <f>IF(PaymentSchedule45[[#This Row],[PMT NO]]&lt;&gt;"",PaymentSchedule45[[#This Row],[TOTAL PAYMENT]]-PaymentSchedule45[[#This Row],[INTEREST]],"")</f>
        <v>537.67979947525544</v>
      </c>
      <c r="I268" s="32">
        <f>IF(PaymentSchedule45[[#This Row],[PMT NO]]&lt;&gt;"",PaymentSchedule45[[#This Row],[BEGINNING BALANCE]]*(InterestRate/PaymentsPerYear),"")</f>
        <v>756.56314400984536</v>
      </c>
      <c r="J26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92102.705181322119</v>
      </c>
      <c r="K268" s="32">
        <f>IF(PaymentSchedule45[[#This Row],[PMT NO]]&lt;&gt;"",SUM(INDEX(PaymentSchedule45[INTEREST],1,1):PaymentSchedule45[[#This Row],[INTEREST]]),"")</f>
        <v>269546.16988305253</v>
      </c>
    </row>
    <row r="269" spans="2:11" x14ac:dyDescent="0.3">
      <c r="B269" s="30">
        <f>IF(LoanIsGood,IF(ROW()-ROW(PaymentSchedule45[[#Headers],[PMT NO]])&gt;ScheduledNumberOfPayments,"",ROW()-ROW(PaymentSchedule45[[#Headers],[PMT NO]])),"")</f>
        <v>254</v>
      </c>
      <c r="C269" s="31">
        <f>IF(PaymentSchedule45[[#This Row],[PMT NO]]&lt;&gt;"",EOMONTH(LoanStartDate,ROW(PaymentSchedule45[[#This Row],[PMT NO]])-ROW(PaymentSchedule45[[#Headers],[PMT NO]])-2)+DAY(LoanStartDate),"")</f>
        <v>51075</v>
      </c>
      <c r="D269" s="32">
        <f>IF(PaymentSchedule45[[#This Row],[PMT NO]]&lt;&gt;"",IF(ROW()-ROW(PaymentSchedule45[[#Headers],[BEGINNING BALANCE]])=1,LoanAmount,INDEX(PaymentSchedule45[ENDING BALANCE],ROW()-ROW(PaymentSchedule45[[#Headers],[BEGINNING BALANCE]])-1)),"")</f>
        <v>92102.705181322119</v>
      </c>
      <c r="E269" s="32">
        <f>IF(PaymentSchedule45[[#This Row],[PMT NO]]&lt;&gt;"",ScheduledPayment,"")</f>
        <v>1294.2429434851008</v>
      </c>
      <c r="F26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6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69" s="32">
        <f>IF(PaymentSchedule45[[#This Row],[PMT NO]]&lt;&gt;"",PaymentSchedule45[[#This Row],[TOTAL PAYMENT]]-PaymentSchedule45[[#This Row],[INTEREST]],"")</f>
        <v>542.07085117097006</v>
      </c>
      <c r="I269" s="32">
        <f>IF(PaymentSchedule45[[#This Row],[PMT NO]]&lt;&gt;"",PaymentSchedule45[[#This Row],[BEGINNING BALANCE]]*(InterestRate/PaymentsPerYear),"")</f>
        <v>752.17209231413074</v>
      </c>
      <c r="J26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91560.634330151152</v>
      </c>
      <c r="K269" s="32">
        <f>IF(PaymentSchedule45[[#This Row],[PMT NO]]&lt;&gt;"",SUM(INDEX(PaymentSchedule45[INTEREST],1,1):PaymentSchedule45[[#This Row],[INTEREST]]),"")</f>
        <v>270298.34197536664</v>
      </c>
    </row>
    <row r="270" spans="2:11" x14ac:dyDescent="0.3">
      <c r="B270" s="30">
        <f>IF(LoanIsGood,IF(ROW()-ROW(PaymentSchedule45[[#Headers],[PMT NO]])&gt;ScheduledNumberOfPayments,"",ROW()-ROW(PaymentSchedule45[[#Headers],[PMT NO]])),"")</f>
        <v>255</v>
      </c>
      <c r="C270" s="31">
        <f>IF(PaymentSchedule45[[#This Row],[PMT NO]]&lt;&gt;"",EOMONTH(LoanStartDate,ROW(PaymentSchedule45[[#This Row],[PMT NO]])-ROW(PaymentSchedule45[[#Headers],[PMT NO]])-2)+DAY(LoanStartDate),"")</f>
        <v>51105</v>
      </c>
      <c r="D270" s="32">
        <f>IF(PaymentSchedule45[[#This Row],[PMT NO]]&lt;&gt;"",IF(ROW()-ROW(PaymentSchedule45[[#Headers],[BEGINNING BALANCE]])=1,LoanAmount,INDEX(PaymentSchedule45[ENDING BALANCE],ROW()-ROW(PaymentSchedule45[[#Headers],[BEGINNING BALANCE]])-1)),"")</f>
        <v>91560.634330151152</v>
      </c>
      <c r="E270" s="32">
        <f>IF(PaymentSchedule45[[#This Row],[PMT NO]]&lt;&gt;"",ScheduledPayment,"")</f>
        <v>1294.2429434851008</v>
      </c>
      <c r="F27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7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70" s="32">
        <f>IF(PaymentSchedule45[[#This Row],[PMT NO]]&lt;&gt;"",PaymentSchedule45[[#This Row],[TOTAL PAYMENT]]-PaymentSchedule45[[#This Row],[INTEREST]],"")</f>
        <v>546.49776312219967</v>
      </c>
      <c r="I270" s="32">
        <f>IF(PaymentSchedule45[[#This Row],[PMT NO]]&lt;&gt;"",PaymentSchedule45[[#This Row],[BEGINNING BALANCE]]*(InterestRate/PaymentsPerYear),"")</f>
        <v>747.74518036290112</v>
      </c>
      <c r="J27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91014.136567028952</v>
      </c>
      <c r="K270" s="32">
        <f>IF(PaymentSchedule45[[#This Row],[PMT NO]]&lt;&gt;"",SUM(INDEX(PaymentSchedule45[INTEREST],1,1):PaymentSchedule45[[#This Row],[INTEREST]]),"")</f>
        <v>271046.08715572953</v>
      </c>
    </row>
    <row r="271" spans="2:11" x14ac:dyDescent="0.3">
      <c r="B271" s="30">
        <f>IF(LoanIsGood,IF(ROW()-ROW(PaymentSchedule45[[#Headers],[PMT NO]])&gt;ScheduledNumberOfPayments,"",ROW()-ROW(PaymentSchedule45[[#Headers],[PMT NO]])),"")</f>
        <v>256</v>
      </c>
      <c r="C271" s="31">
        <f>IF(PaymentSchedule45[[#This Row],[PMT NO]]&lt;&gt;"",EOMONTH(LoanStartDate,ROW(PaymentSchedule45[[#This Row],[PMT NO]])-ROW(PaymentSchedule45[[#Headers],[PMT NO]])-2)+DAY(LoanStartDate),"")</f>
        <v>51136</v>
      </c>
      <c r="D271" s="32">
        <f>IF(PaymentSchedule45[[#This Row],[PMT NO]]&lt;&gt;"",IF(ROW()-ROW(PaymentSchedule45[[#Headers],[BEGINNING BALANCE]])=1,LoanAmount,INDEX(PaymentSchedule45[ENDING BALANCE],ROW()-ROW(PaymentSchedule45[[#Headers],[BEGINNING BALANCE]])-1)),"")</f>
        <v>91014.136567028952</v>
      </c>
      <c r="E271" s="32">
        <f>IF(PaymentSchedule45[[#This Row],[PMT NO]]&lt;&gt;"",ScheduledPayment,"")</f>
        <v>1294.2429434851008</v>
      </c>
      <c r="F27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7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71" s="32">
        <f>IF(PaymentSchedule45[[#This Row],[PMT NO]]&lt;&gt;"",PaymentSchedule45[[#This Row],[TOTAL PAYMENT]]-PaymentSchedule45[[#This Row],[INTEREST]],"")</f>
        <v>550.96082818769764</v>
      </c>
      <c r="I271" s="32">
        <f>IF(PaymentSchedule45[[#This Row],[PMT NO]]&lt;&gt;"",PaymentSchedule45[[#This Row],[BEGINNING BALANCE]]*(InterestRate/PaymentsPerYear),"")</f>
        <v>743.28211529740315</v>
      </c>
      <c r="J27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90463.175738841252</v>
      </c>
      <c r="K271" s="32">
        <f>IF(PaymentSchedule45[[#This Row],[PMT NO]]&lt;&gt;"",SUM(INDEX(PaymentSchedule45[INTEREST],1,1):PaymentSchedule45[[#This Row],[INTEREST]]),"")</f>
        <v>271789.36927102692</v>
      </c>
    </row>
    <row r="272" spans="2:11" x14ac:dyDescent="0.3">
      <c r="B272" s="30">
        <f>IF(LoanIsGood,IF(ROW()-ROW(PaymentSchedule45[[#Headers],[PMT NO]])&gt;ScheduledNumberOfPayments,"",ROW()-ROW(PaymentSchedule45[[#Headers],[PMT NO]])),"")</f>
        <v>257</v>
      </c>
      <c r="C272" s="31">
        <f>IF(PaymentSchedule45[[#This Row],[PMT NO]]&lt;&gt;"",EOMONTH(LoanStartDate,ROW(PaymentSchedule45[[#This Row],[PMT NO]])-ROW(PaymentSchedule45[[#Headers],[PMT NO]])-2)+DAY(LoanStartDate),"")</f>
        <v>51167</v>
      </c>
      <c r="D272" s="32">
        <f>IF(PaymentSchedule45[[#This Row],[PMT NO]]&lt;&gt;"",IF(ROW()-ROW(PaymentSchedule45[[#Headers],[BEGINNING BALANCE]])=1,LoanAmount,INDEX(PaymentSchedule45[ENDING BALANCE],ROW()-ROW(PaymentSchedule45[[#Headers],[BEGINNING BALANCE]])-1)),"")</f>
        <v>90463.175738841252</v>
      </c>
      <c r="E272" s="32">
        <f>IF(PaymentSchedule45[[#This Row],[PMT NO]]&lt;&gt;"",ScheduledPayment,"")</f>
        <v>1294.2429434851008</v>
      </c>
      <c r="F27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7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72" s="32">
        <f>IF(PaymentSchedule45[[#This Row],[PMT NO]]&lt;&gt;"",PaymentSchedule45[[#This Row],[TOTAL PAYMENT]]-PaymentSchedule45[[#This Row],[INTEREST]],"")</f>
        <v>555.46034161789714</v>
      </c>
      <c r="I272" s="32">
        <f>IF(PaymentSchedule45[[#This Row],[PMT NO]]&lt;&gt;"",PaymentSchedule45[[#This Row],[BEGINNING BALANCE]]*(InterestRate/PaymentsPerYear),"")</f>
        <v>738.78260186720365</v>
      </c>
      <c r="J27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89907.71539722335</v>
      </c>
      <c r="K272" s="32">
        <f>IF(PaymentSchedule45[[#This Row],[PMT NO]]&lt;&gt;"",SUM(INDEX(PaymentSchedule45[INTEREST],1,1):PaymentSchedule45[[#This Row],[INTEREST]]),"")</f>
        <v>272528.15187289414</v>
      </c>
    </row>
    <row r="273" spans="2:11" x14ac:dyDescent="0.3">
      <c r="B273" s="30">
        <f>IF(LoanIsGood,IF(ROW()-ROW(PaymentSchedule45[[#Headers],[PMT NO]])&gt;ScheduledNumberOfPayments,"",ROW()-ROW(PaymentSchedule45[[#Headers],[PMT NO]])),"")</f>
        <v>258</v>
      </c>
      <c r="C273" s="31">
        <f>IF(PaymentSchedule45[[#This Row],[PMT NO]]&lt;&gt;"",EOMONTH(LoanStartDate,ROW(PaymentSchedule45[[#This Row],[PMT NO]])-ROW(PaymentSchedule45[[#Headers],[PMT NO]])-2)+DAY(LoanStartDate),"")</f>
        <v>51196</v>
      </c>
      <c r="D273" s="32">
        <f>IF(PaymentSchedule45[[#This Row],[PMT NO]]&lt;&gt;"",IF(ROW()-ROW(PaymentSchedule45[[#Headers],[BEGINNING BALANCE]])=1,LoanAmount,INDEX(PaymentSchedule45[ENDING BALANCE],ROW()-ROW(PaymentSchedule45[[#Headers],[BEGINNING BALANCE]])-1)),"")</f>
        <v>89907.71539722335</v>
      </c>
      <c r="E273" s="32">
        <f>IF(PaymentSchedule45[[#This Row],[PMT NO]]&lt;&gt;"",ScheduledPayment,"")</f>
        <v>1294.2429434851008</v>
      </c>
      <c r="F27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7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73" s="32">
        <f>IF(PaymentSchedule45[[#This Row],[PMT NO]]&lt;&gt;"",PaymentSchedule45[[#This Row],[TOTAL PAYMENT]]-PaymentSchedule45[[#This Row],[INTEREST]],"")</f>
        <v>559.99660107444333</v>
      </c>
      <c r="I273" s="32">
        <f>IF(PaymentSchedule45[[#This Row],[PMT NO]]&lt;&gt;"",PaymentSchedule45[[#This Row],[BEGINNING BALANCE]]*(InterestRate/PaymentsPerYear),"")</f>
        <v>734.24634241065746</v>
      </c>
      <c r="J27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89347.718796148911</v>
      </c>
      <c r="K273" s="32">
        <f>IF(PaymentSchedule45[[#This Row],[PMT NO]]&lt;&gt;"",SUM(INDEX(PaymentSchedule45[INTEREST],1,1):PaymentSchedule45[[#This Row],[INTEREST]]),"")</f>
        <v>273262.39821530483</v>
      </c>
    </row>
    <row r="274" spans="2:11" x14ac:dyDescent="0.3">
      <c r="B274" s="30">
        <f>IF(LoanIsGood,IF(ROW()-ROW(PaymentSchedule45[[#Headers],[PMT NO]])&gt;ScheduledNumberOfPayments,"",ROW()-ROW(PaymentSchedule45[[#Headers],[PMT NO]])),"")</f>
        <v>259</v>
      </c>
      <c r="C274" s="31">
        <f>IF(PaymentSchedule45[[#This Row],[PMT NO]]&lt;&gt;"",EOMONTH(LoanStartDate,ROW(PaymentSchedule45[[#This Row],[PMT NO]])-ROW(PaymentSchedule45[[#Headers],[PMT NO]])-2)+DAY(LoanStartDate),"")</f>
        <v>51227</v>
      </c>
      <c r="D274" s="32">
        <f>IF(PaymentSchedule45[[#This Row],[PMT NO]]&lt;&gt;"",IF(ROW()-ROW(PaymentSchedule45[[#Headers],[BEGINNING BALANCE]])=1,LoanAmount,INDEX(PaymentSchedule45[ENDING BALANCE],ROW()-ROW(PaymentSchedule45[[#Headers],[BEGINNING BALANCE]])-1)),"")</f>
        <v>89347.718796148911</v>
      </c>
      <c r="E274" s="32">
        <f>IF(PaymentSchedule45[[#This Row],[PMT NO]]&lt;&gt;"",ScheduledPayment,"")</f>
        <v>1294.2429434851008</v>
      </c>
      <c r="F27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7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74" s="32">
        <f>IF(PaymentSchedule45[[#This Row],[PMT NO]]&lt;&gt;"",PaymentSchedule45[[#This Row],[TOTAL PAYMENT]]-PaymentSchedule45[[#This Row],[INTEREST]],"")</f>
        <v>564.56990664988462</v>
      </c>
      <c r="I274" s="32">
        <f>IF(PaymentSchedule45[[#This Row],[PMT NO]]&lt;&gt;"",PaymentSchedule45[[#This Row],[BEGINNING BALANCE]]*(InterestRate/PaymentsPerYear),"")</f>
        <v>729.67303683521618</v>
      </c>
      <c r="J27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88783.148889499033</v>
      </c>
      <c r="K274" s="32">
        <f>IF(PaymentSchedule45[[#This Row],[PMT NO]]&lt;&gt;"",SUM(INDEX(PaymentSchedule45[INTEREST],1,1):PaymentSchedule45[[#This Row],[INTEREST]]),"")</f>
        <v>273992.07125214004</v>
      </c>
    </row>
    <row r="275" spans="2:11" x14ac:dyDescent="0.3">
      <c r="B275" s="30">
        <f>IF(LoanIsGood,IF(ROW()-ROW(PaymentSchedule45[[#Headers],[PMT NO]])&gt;ScheduledNumberOfPayments,"",ROW()-ROW(PaymentSchedule45[[#Headers],[PMT NO]])),"")</f>
        <v>260</v>
      </c>
      <c r="C275" s="31">
        <f>IF(PaymentSchedule45[[#This Row],[PMT NO]]&lt;&gt;"",EOMONTH(LoanStartDate,ROW(PaymentSchedule45[[#This Row],[PMT NO]])-ROW(PaymentSchedule45[[#Headers],[PMT NO]])-2)+DAY(LoanStartDate),"")</f>
        <v>51257</v>
      </c>
      <c r="D275" s="32">
        <f>IF(PaymentSchedule45[[#This Row],[PMT NO]]&lt;&gt;"",IF(ROW()-ROW(PaymentSchedule45[[#Headers],[BEGINNING BALANCE]])=1,LoanAmount,INDEX(PaymentSchedule45[ENDING BALANCE],ROW()-ROW(PaymentSchedule45[[#Headers],[BEGINNING BALANCE]])-1)),"")</f>
        <v>88783.148889499033</v>
      </c>
      <c r="E275" s="32">
        <f>IF(PaymentSchedule45[[#This Row],[PMT NO]]&lt;&gt;"",ScheduledPayment,"")</f>
        <v>1294.2429434851008</v>
      </c>
      <c r="F27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7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75" s="32">
        <f>IF(PaymentSchedule45[[#This Row],[PMT NO]]&lt;&gt;"",PaymentSchedule45[[#This Row],[TOTAL PAYMENT]]-PaymentSchedule45[[#This Row],[INTEREST]],"")</f>
        <v>569.1805608875253</v>
      </c>
      <c r="I275" s="32">
        <f>IF(PaymentSchedule45[[#This Row],[PMT NO]]&lt;&gt;"",PaymentSchedule45[[#This Row],[BEGINNING BALANCE]]*(InterestRate/PaymentsPerYear),"")</f>
        <v>725.06238259757549</v>
      </c>
      <c r="J27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88213.968328611503</v>
      </c>
      <c r="K275" s="32">
        <f>IF(PaymentSchedule45[[#This Row],[PMT NO]]&lt;&gt;"",SUM(INDEX(PaymentSchedule45[INTEREST],1,1):PaymentSchedule45[[#This Row],[INTEREST]]),"")</f>
        <v>274717.13363473763</v>
      </c>
    </row>
    <row r="276" spans="2:11" x14ac:dyDescent="0.3">
      <c r="B276" s="30">
        <f>IF(LoanIsGood,IF(ROW()-ROW(PaymentSchedule45[[#Headers],[PMT NO]])&gt;ScheduledNumberOfPayments,"",ROW()-ROW(PaymentSchedule45[[#Headers],[PMT NO]])),"")</f>
        <v>261</v>
      </c>
      <c r="C276" s="31">
        <f>IF(PaymentSchedule45[[#This Row],[PMT NO]]&lt;&gt;"",EOMONTH(LoanStartDate,ROW(PaymentSchedule45[[#This Row],[PMT NO]])-ROW(PaymentSchedule45[[#Headers],[PMT NO]])-2)+DAY(LoanStartDate),"")</f>
        <v>51288</v>
      </c>
      <c r="D276" s="32">
        <f>IF(PaymentSchedule45[[#This Row],[PMT NO]]&lt;&gt;"",IF(ROW()-ROW(PaymentSchedule45[[#Headers],[BEGINNING BALANCE]])=1,LoanAmount,INDEX(PaymentSchedule45[ENDING BALANCE],ROW()-ROW(PaymentSchedule45[[#Headers],[BEGINNING BALANCE]])-1)),"")</f>
        <v>88213.968328611503</v>
      </c>
      <c r="E276" s="32">
        <f>IF(PaymentSchedule45[[#This Row],[PMT NO]]&lt;&gt;"",ScheduledPayment,"")</f>
        <v>1294.2429434851008</v>
      </c>
      <c r="F27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7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76" s="32">
        <f>IF(PaymentSchedule45[[#This Row],[PMT NO]]&lt;&gt;"",PaymentSchedule45[[#This Row],[TOTAL PAYMENT]]-PaymentSchedule45[[#This Row],[INTEREST]],"")</f>
        <v>573.82886880144008</v>
      </c>
      <c r="I276" s="32">
        <f>IF(PaymentSchedule45[[#This Row],[PMT NO]]&lt;&gt;"",PaymentSchedule45[[#This Row],[BEGINNING BALANCE]]*(InterestRate/PaymentsPerYear),"")</f>
        <v>720.41407468366071</v>
      </c>
      <c r="J27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87640.13945981006</v>
      </c>
      <c r="K276" s="32">
        <f>IF(PaymentSchedule45[[#This Row],[PMT NO]]&lt;&gt;"",SUM(INDEX(PaymentSchedule45[INTEREST],1,1):PaymentSchedule45[[#This Row],[INTEREST]]),"")</f>
        <v>275437.54770942131</v>
      </c>
    </row>
    <row r="277" spans="2:11" x14ac:dyDescent="0.3">
      <c r="B277" s="30">
        <f>IF(LoanIsGood,IF(ROW()-ROW(PaymentSchedule45[[#Headers],[PMT NO]])&gt;ScheduledNumberOfPayments,"",ROW()-ROW(PaymentSchedule45[[#Headers],[PMT NO]])),"")</f>
        <v>262</v>
      </c>
      <c r="C277" s="31">
        <f>IF(PaymentSchedule45[[#This Row],[PMT NO]]&lt;&gt;"",EOMONTH(LoanStartDate,ROW(PaymentSchedule45[[#This Row],[PMT NO]])-ROW(PaymentSchedule45[[#Headers],[PMT NO]])-2)+DAY(LoanStartDate),"")</f>
        <v>51318</v>
      </c>
      <c r="D277" s="32">
        <f>IF(PaymentSchedule45[[#This Row],[PMT NO]]&lt;&gt;"",IF(ROW()-ROW(PaymentSchedule45[[#Headers],[BEGINNING BALANCE]])=1,LoanAmount,INDEX(PaymentSchedule45[ENDING BALANCE],ROW()-ROW(PaymentSchedule45[[#Headers],[BEGINNING BALANCE]])-1)),"")</f>
        <v>87640.13945981006</v>
      </c>
      <c r="E277" s="32">
        <f>IF(PaymentSchedule45[[#This Row],[PMT NO]]&lt;&gt;"",ScheduledPayment,"")</f>
        <v>1294.2429434851008</v>
      </c>
      <c r="F27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7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77" s="32">
        <f>IF(PaymentSchedule45[[#This Row],[PMT NO]]&lt;&gt;"",PaymentSchedule45[[#This Row],[TOTAL PAYMENT]]-PaymentSchedule45[[#This Row],[INTEREST]],"")</f>
        <v>578.51513789665194</v>
      </c>
      <c r="I277" s="32">
        <f>IF(PaymentSchedule45[[#This Row],[PMT NO]]&lt;&gt;"",PaymentSchedule45[[#This Row],[BEGINNING BALANCE]]*(InterestRate/PaymentsPerYear),"")</f>
        <v>715.72780558844886</v>
      </c>
      <c r="J27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87061.624321913405</v>
      </c>
      <c r="K277" s="32">
        <f>IF(PaymentSchedule45[[#This Row],[PMT NO]]&lt;&gt;"",SUM(INDEX(PaymentSchedule45[INTEREST],1,1):PaymentSchedule45[[#This Row],[INTEREST]]),"")</f>
        <v>276153.27551500977</v>
      </c>
    </row>
    <row r="278" spans="2:11" x14ac:dyDescent="0.3">
      <c r="B278" s="30">
        <f>IF(LoanIsGood,IF(ROW()-ROW(PaymentSchedule45[[#Headers],[PMT NO]])&gt;ScheduledNumberOfPayments,"",ROW()-ROW(PaymentSchedule45[[#Headers],[PMT NO]])),"")</f>
        <v>263</v>
      </c>
      <c r="C278" s="31">
        <f>IF(PaymentSchedule45[[#This Row],[PMT NO]]&lt;&gt;"",EOMONTH(LoanStartDate,ROW(PaymentSchedule45[[#This Row],[PMT NO]])-ROW(PaymentSchedule45[[#Headers],[PMT NO]])-2)+DAY(LoanStartDate),"")</f>
        <v>51349</v>
      </c>
      <c r="D278" s="32">
        <f>IF(PaymentSchedule45[[#This Row],[PMT NO]]&lt;&gt;"",IF(ROW()-ROW(PaymentSchedule45[[#Headers],[BEGINNING BALANCE]])=1,LoanAmount,INDEX(PaymentSchedule45[ENDING BALANCE],ROW()-ROW(PaymentSchedule45[[#Headers],[BEGINNING BALANCE]])-1)),"")</f>
        <v>87061.624321913405</v>
      </c>
      <c r="E278" s="32">
        <f>IF(PaymentSchedule45[[#This Row],[PMT NO]]&lt;&gt;"",ScheduledPayment,"")</f>
        <v>1294.2429434851008</v>
      </c>
      <c r="F27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7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78" s="32">
        <f>IF(PaymentSchedule45[[#This Row],[PMT NO]]&lt;&gt;"",PaymentSchedule45[[#This Row],[TOTAL PAYMENT]]-PaymentSchedule45[[#This Row],[INTEREST]],"")</f>
        <v>583.2396781894746</v>
      </c>
      <c r="I278" s="32">
        <f>IF(PaymentSchedule45[[#This Row],[PMT NO]]&lt;&gt;"",PaymentSchedule45[[#This Row],[BEGINNING BALANCE]]*(InterestRate/PaymentsPerYear),"")</f>
        <v>711.00326529562619</v>
      </c>
      <c r="J27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86478.384643723926</v>
      </c>
      <c r="K278" s="32">
        <f>IF(PaymentSchedule45[[#This Row],[PMT NO]]&lt;&gt;"",SUM(INDEX(PaymentSchedule45[INTEREST],1,1):PaymentSchedule45[[#This Row],[INTEREST]]),"")</f>
        <v>276864.27878030541</v>
      </c>
    </row>
    <row r="279" spans="2:11" x14ac:dyDescent="0.3">
      <c r="B279" s="30">
        <f>IF(LoanIsGood,IF(ROW()-ROW(PaymentSchedule45[[#Headers],[PMT NO]])&gt;ScheduledNumberOfPayments,"",ROW()-ROW(PaymentSchedule45[[#Headers],[PMT NO]])),"")</f>
        <v>264</v>
      </c>
      <c r="C279" s="31">
        <f>IF(PaymentSchedule45[[#This Row],[PMT NO]]&lt;&gt;"",EOMONTH(LoanStartDate,ROW(PaymentSchedule45[[#This Row],[PMT NO]])-ROW(PaymentSchedule45[[#Headers],[PMT NO]])-2)+DAY(LoanStartDate),"")</f>
        <v>51380</v>
      </c>
      <c r="D279" s="32">
        <f>IF(PaymentSchedule45[[#This Row],[PMT NO]]&lt;&gt;"",IF(ROW()-ROW(PaymentSchedule45[[#Headers],[BEGINNING BALANCE]])=1,LoanAmount,INDEX(PaymentSchedule45[ENDING BALANCE],ROW()-ROW(PaymentSchedule45[[#Headers],[BEGINNING BALANCE]])-1)),"")</f>
        <v>86478.384643723926</v>
      </c>
      <c r="E279" s="32">
        <f>IF(PaymentSchedule45[[#This Row],[PMT NO]]&lt;&gt;"",ScheduledPayment,"")</f>
        <v>1294.2429434851008</v>
      </c>
      <c r="F27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7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79" s="32">
        <f>IF(PaymentSchedule45[[#This Row],[PMT NO]]&lt;&gt;"",PaymentSchedule45[[#This Row],[TOTAL PAYMENT]]-PaymentSchedule45[[#This Row],[INTEREST]],"")</f>
        <v>588.00280222802201</v>
      </c>
      <c r="I279" s="32">
        <f>IF(PaymentSchedule45[[#This Row],[PMT NO]]&lt;&gt;"",PaymentSchedule45[[#This Row],[BEGINNING BALANCE]]*(InterestRate/PaymentsPerYear),"")</f>
        <v>706.24014125707879</v>
      </c>
      <c r="J27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85890.38184149591</v>
      </c>
      <c r="K279" s="32">
        <f>IF(PaymentSchedule45[[#This Row],[PMT NO]]&lt;&gt;"",SUM(INDEX(PaymentSchedule45[INTEREST],1,1):PaymentSchedule45[[#This Row],[INTEREST]]),"")</f>
        <v>277570.51892156247</v>
      </c>
    </row>
    <row r="280" spans="2:11" x14ac:dyDescent="0.3">
      <c r="B280" s="30">
        <f>IF(LoanIsGood,IF(ROW()-ROW(PaymentSchedule45[[#Headers],[PMT NO]])&gt;ScheduledNumberOfPayments,"",ROW()-ROW(PaymentSchedule45[[#Headers],[PMT NO]])),"")</f>
        <v>265</v>
      </c>
      <c r="C280" s="31">
        <f>IF(PaymentSchedule45[[#This Row],[PMT NO]]&lt;&gt;"",EOMONTH(LoanStartDate,ROW(PaymentSchedule45[[#This Row],[PMT NO]])-ROW(PaymentSchedule45[[#Headers],[PMT NO]])-2)+DAY(LoanStartDate),"")</f>
        <v>51410</v>
      </c>
      <c r="D280" s="32">
        <f>IF(PaymentSchedule45[[#This Row],[PMT NO]]&lt;&gt;"",IF(ROW()-ROW(PaymentSchedule45[[#Headers],[BEGINNING BALANCE]])=1,LoanAmount,INDEX(PaymentSchedule45[ENDING BALANCE],ROW()-ROW(PaymentSchedule45[[#Headers],[BEGINNING BALANCE]])-1)),"")</f>
        <v>85890.38184149591</v>
      </c>
      <c r="E280" s="32">
        <f>IF(PaymentSchedule45[[#This Row],[PMT NO]]&lt;&gt;"",ScheduledPayment,"")</f>
        <v>1294.2429434851008</v>
      </c>
      <c r="F28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8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80" s="32">
        <f>IF(PaymentSchedule45[[#This Row],[PMT NO]]&lt;&gt;"",PaymentSchedule45[[#This Row],[TOTAL PAYMENT]]-PaymentSchedule45[[#This Row],[INTEREST]],"")</f>
        <v>592.80482511288415</v>
      </c>
      <c r="I280" s="32">
        <f>IF(PaymentSchedule45[[#This Row],[PMT NO]]&lt;&gt;"",PaymentSchedule45[[#This Row],[BEGINNING BALANCE]]*(InterestRate/PaymentsPerYear),"")</f>
        <v>701.43811837221665</v>
      </c>
      <c r="J28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85297.577016383031</v>
      </c>
      <c r="K280" s="32">
        <f>IF(PaymentSchedule45[[#This Row],[PMT NO]]&lt;&gt;"",SUM(INDEX(PaymentSchedule45[INTEREST],1,1):PaymentSchedule45[[#This Row],[INTEREST]]),"")</f>
        <v>278271.9570399347</v>
      </c>
    </row>
    <row r="281" spans="2:11" x14ac:dyDescent="0.3">
      <c r="B281" s="30">
        <f>IF(LoanIsGood,IF(ROW()-ROW(PaymentSchedule45[[#Headers],[PMT NO]])&gt;ScheduledNumberOfPayments,"",ROW()-ROW(PaymentSchedule45[[#Headers],[PMT NO]])),"")</f>
        <v>266</v>
      </c>
      <c r="C281" s="31">
        <f>IF(PaymentSchedule45[[#This Row],[PMT NO]]&lt;&gt;"",EOMONTH(LoanStartDate,ROW(PaymentSchedule45[[#This Row],[PMT NO]])-ROW(PaymentSchedule45[[#Headers],[PMT NO]])-2)+DAY(LoanStartDate),"")</f>
        <v>51441</v>
      </c>
      <c r="D281" s="32">
        <f>IF(PaymentSchedule45[[#This Row],[PMT NO]]&lt;&gt;"",IF(ROW()-ROW(PaymentSchedule45[[#Headers],[BEGINNING BALANCE]])=1,LoanAmount,INDEX(PaymentSchedule45[ENDING BALANCE],ROW()-ROW(PaymentSchedule45[[#Headers],[BEGINNING BALANCE]])-1)),"")</f>
        <v>85297.577016383031</v>
      </c>
      <c r="E281" s="32">
        <f>IF(PaymentSchedule45[[#This Row],[PMT NO]]&lt;&gt;"",ScheduledPayment,"")</f>
        <v>1294.2429434851008</v>
      </c>
      <c r="F28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8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81" s="32">
        <f>IF(PaymentSchedule45[[#This Row],[PMT NO]]&lt;&gt;"",PaymentSchedule45[[#This Row],[TOTAL PAYMENT]]-PaymentSchedule45[[#This Row],[INTEREST]],"")</f>
        <v>597.6460645179726</v>
      </c>
      <c r="I281" s="32">
        <f>IF(PaymentSchedule45[[#This Row],[PMT NO]]&lt;&gt;"",PaymentSchedule45[[#This Row],[BEGINNING BALANCE]]*(InterestRate/PaymentsPerYear),"")</f>
        <v>696.59687896712819</v>
      </c>
      <c r="J28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84699.930951865055</v>
      </c>
      <c r="K281" s="32">
        <f>IF(PaymentSchedule45[[#This Row],[PMT NO]]&lt;&gt;"",SUM(INDEX(PaymentSchedule45[INTEREST],1,1):PaymentSchedule45[[#This Row],[INTEREST]]),"")</f>
        <v>278968.55391890183</v>
      </c>
    </row>
    <row r="282" spans="2:11" x14ac:dyDescent="0.3">
      <c r="B282" s="30">
        <f>IF(LoanIsGood,IF(ROW()-ROW(PaymentSchedule45[[#Headers],[PMT NO]])&gt;ScheduledNumberOfPayments,"",ROW()-ROW(PaymentSchedule45[[#Headers],[PMT NO]])),"")</f>
        <v>267</v>
      </c>
      <c r="C282" s="31">
        <f>IF(PaymentSchedule45[[#This Row],[PMT NO]]&lt;&gt;"",EOMONTH(LoanStartDate,ROW(PaymentSchedule45[[#This Row],[PMT NO]])-ROW(PaymentSchedule45[[#Headers],[PMT NO]])-2)+DAY(LoanStartDate),"")</f>
        <v>51471</v>
      </c>
      <c r="D282" s="32">
        <f>IF(PaymentSchedule45[[#This Row],[PMT NO]]&lt;&gt;"",IF(ROW()-ROW(PaymentSchedule45[[#Headers],[BEGINNING BALANCE]])=1,LoanAmount,INDEX(PaymentSchedule45[ENDING BALANCE],ROW()-ROW(PaymentSchedule45[[#Headers],[BEGINNING BALANCE]])-1)),"")</f>
        <v>84699.930951865055</v>
      </c>
      <c r="E282" s="32">
        <f>IF(PaymentSchedule45[[#This Row],[PMT NO]]&lt;&gt;"",ScheduledPayment,"")</f>
        <v>1294.2429434851008</v>
      </c>
      <c r="F28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8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82" s="32">
        <f>IF(PaymentSchedule45[[#This Row],[PMT NO]]&lt;&gt;"",PaymentSchedule45[[#This Row],[TOTAL PAYMENT]]-PaymentSchedule45[[#This Row],[INTEREST]],"")</f>
        <v>602.52684071153612</v>
      </c>
      <c r="I282" s="32">
        <f>IF(PaymentSchedule45[[#This Row],[PMT NO]]&lt;&gt;"",PaymentSchedule45[[#This Row],[BEGINNING BALANCE]]*(InterestRate/PaymentsPerYear),"")</f>
        <v>691.71610277356467</v>
      </c>
      <c r="J28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84097.404111153519</v>
      </c>
      <c r="K282" s="32">
        <f>IF(PaymentSchedule45[[#This Row],[PMT NO]]&lt;&gt;"",SUM(INDEX(PaymentSchedule45[INTEREST],1,1):PaymentSchedule45[[#This Row],[INTEREST]]),"")</f>
        <v>279660.27002167539</v>
      </c>
    </row>
    <row r="283" spans="2:11" x14ac:dyDescent="0.3">
      <c r="B283" s="30">
        <f>IF(LoanIsGood,IF(ROW()-ROW(PaymentSchedule45[[#Headers],[PMT NO]])&gt;ScheduledNumberOfPayments,"",ROW()-ROW(PaymentSchedule45[[#Headers],[PMT NO]])),"")</f>
        <v>268</v>
      </c>
      <c r="C283" s="31">
        <f>IF(PaymentSchedule45[[#This Row],[PMT NO]]&lt;&gt;"",EOMONTH(LoanStartDate,ROW(PaymentSchedule45[[#This Row],[PMT NO]])-ROW(PaymentSchedule45[[#Headers],[PMT NO]])-2)+DAY(LoanStartDate),"")</f>
        <v>51502</v>
      </c>
      <c r="D283" s="32">
        <f>IF(PaymentSchedule45[[#This Row],[PMT NO]]&lt;&gt;"",IF(ROW()-ROW(PaymentSchedule45[[#Headers],[BEGINNING BALANCE]])=1,LoanAmount,INDEX(PaymentSchedule45[ENDING BALANCE],ROW()-ROW(PaymentSchedule45[[#Headers],[BEGINNING BALANCE]])-1)),"")</f>
        <v>84097.404111153519</v>
      </c>
      <c r="E283" s="32">
        <f>IF(PaymentSchedule45[[#This Row],[PMT NO]]&lt;&gt;"",ScheduledPayment,"")</f>
        <v>1294.2429434851008</v>
      </c>
      <c r="F28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8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83" s="32">
        <f>IF(PaymentSchedule45[[#This Row],[PMT NO]]&lt;&gt;"",PaymentSchedule45[[#This Row],[TOTAL PAYMENT]]-PaymentSchedule45[[#This Row],[INTEREST]],"")</f>
        <v>607.44747657734695</v>
      </c>
      <c r="I283" s="32">
        <f>IF(PaymentSchedule45[[#This Row],[PMT NO]]&lt;&gt;"",PaymentSchedule45[[#This Row],[BEGINNING BALANCE]]*(InterestRate/PaymentsPerYear),"")</f>
        <v>686.79546690775385</v>
      </c>
      <c r="J28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83489.95663457617</v>
      </c>
      <c r="K283" s="32">
        <f>IF(PaymentSchedule45[[#This Row],[PMT NO]]&lt;&gt;"",SUM(INDEX(PaymentSchedule45[INTEREST],1,1):PaymentSchedule45[[#This Row],[INTEREST]]),"")</f>
        <v>280347.06548858312</v>
      </c>
    </row>
    <row r="284" spans="2:11" x14ac:dyDescent="0.3">
      <c r="B284" s="30">
        <f>IF(LoanIsGood,IF(ROW()-ROW(PaymentSchedule45[[#Headers],[PMT NO]])&gt;ScheduledNumberOfPayments,"",ROW()-ROW(PaymentSchedule45[[#Headers],[PMT NO]])),"")</f>
        <v>269</v>
      </c>
      <c r="C284" s="31">
        <f>IF(PaymentSchedule45[[#This Row],[PMT NO]]&lt;&gt;"",EOMONTH(LoanStartDate,ROW(PaymentSchedule45[[#This Row],[PMT NO]])-ROW(PaymentSchedule45[[#Headers],[PMT NO]])-2)+DAY(LoanStartDate),"")</f>
        <v>51533</v>
      </c>
      <c r="D284" s="32">
        <f>IF(PaymentSchedule45[[#This Row],[PMT NO]]&lt;&gt;"",IF(ROW()-ROW(PaymentSchedule45[[#Headers],[BEGINNING BALANCE]])=1,LoanAmount,INDEX(PaymentSchedule45[ENDING BALANCE],ROW()-ROW(PaymentSchedule45[[#Headers],[BEGINNING BALANCE]])-1)),"")</f>
        <v>83489.95663457617</v>
      </c>
      <c r="E284" s="32">
        <f>IF(PaymentSchedule45[[#This Row],[PMT NO]]&lt;&gt;"",ScheduledPayment,"")</f>
        <v>1294.2429434851008</v>
      </c>
      <c r="F28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8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84" s="32">
        <f>IF(PaymentSchedule45[[#This Row],[PMT NO]]&lt;&gt;"",PaymentSchedule45[[#This Row],[TOTAL PAYMENT]]-PaymentSchedule45[[#This Row],[INTEREST]],"")</f>
        <v>612.408297636062</v>
      </c>
      <c r="I284" s="32">
        <f>IF(PaymentSchedule45[[#This Row],[PMT NO]]&lt;&gt;"",PaymentSchedule45[[#This Row],[BEGINNING BALANCE]]*(InterestRate/PaymentsPerYear),"")</f>
        <v>681.83464584903879</v>
      </c>
      <c r="J28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82877.548336940104</v>
      </c>
      <c r="K284" s="32">
        <f>IF(PaymentSchedule45[[#This Row],[PMT NO]]&lt;&gt;"",SUM(INDEX(PaymentSchedule45[INTEREST],1,1):PaymentSchedule45[[#This Row],[INTEREST]]),"")</f>
        <v>281028.90013443213</v>
      </c>
    </row>
    <row r="285" spans="2:11" x14ac:dyDescent="0.3">
      <c r="B285" s="30">
        <f>IF(LoanIsGood,IF(ROW()-ROW(PaymentSchedule45[[#Headers],[PMT NO]])&gt;ScheduledNumberOfPayments,"",ROW()-ROW(PaymentSchedule45[[#Headers],[PMT NO]])),"")</f>
        <v>270</v>
      </c>
      <c r="C285" s="31">
        <f>IF(PaymentSchedule45[[#This Row],[PMT NO]]&lt;&gt;"",EOMONTH(LoanStartDate,ROW(PaymentSchedule45[[#This Row],[PMT NO]])-ROW(PaymentSchedule45[[#Headers],[PMT NO]])-2)+DAY(LoanStartDate),"")</f>
        <v>51561</v>
      </c>
      <c r="D285" s="32">
        <f>IF(PaymentSchedule45[[#This Row],[PMT NO]]&lt;&gt;"",IF(ROW()-ROW(PaymentSchedule45[[#Headers],[BEGINNING BALANCE]])=1,LoanAmount,INDEX(PaymentSchedule45[ENDING BALANCE],ROW()-ROW(PaymentSchedule45[[#Headers],[BEGINNING BALANCE]])-1)),"")</f>
        <v>82877.548336940104</v>
      </c>
      <c r="E285" s="32">
        <f>IF(PaymentSchedule45[[#This Row],[PMT NO]]&lt;&gt;"",ScheduledPayment,"")</f>
        <v>1294.2429434851008</v>
      </c>
      <c r="F28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8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85" s="32">
        <f>IF(PaymentSchedule45[[#This Row],[PMT NO]]&lt;&gt;"",PaymentSchedule45[[#This Row],[TOTAL PAYMENT]]-PaymentSchedule45[[#This Row],[INTEREST]],"")</f>
        <v>617.40963206675656</v>
      </c>
      <c r="I285" s="32">
        <f>IF(PaymentSchedule45[[#This Row],[PMT NO]]&lt;&gt;"",PaymentSchedule45[[#This Row],[BEGINNING BALANCE]]*(InterestRate/PaymentsPerYear),"")</f>
        <v>676.83331141834424</v>
      </c>
      <c r="J28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82260.138704873345</v>
      </c>
      <c r="K285" s="32">
        <f>IF(PaymentSchedule45[[#This Row],[PMT NO]]&lt;&gt;"",SUM(INDEX(PaymentSchedule45[INTEREST],1,1):PaymentSchedule45[[#This Row],[INTEREST]]),"")</f>
        <v>281705.73344585049</v>
      </c>
    </row>
    <row r="286" spans="2:11" x14ac:dyDescent="0.3">
      <c r="B286" s="30">
        <f>IF(LoanIsGood,IF(ROW()-ROW(PaymentSchedule45[[#Headers],[PMT NO]])&gt;ScheduledNumberOfPayments,"",ROW()-ROW(PaymentSchedule45[[#Headers],[PMT NO]])),"")</f>
        <v>271</v>
      </c>
      <c r="C286" s="31">
        <f>IF(PaymentSchedule45[[#This Row],[PMT NO]]&lt;&gt;"",EOMONTH(LoanStartDate,ROW(PaymentSchedule45[[#This Row],[PMT NO]])-ROW(PaymentSchedule45[[#Headers],[PMT NO]])-2)+DAY(LoanStartDate),"")</f>
        <v>51592</v>
      </c>
      <c r="D286" s="32">
        <f>IF(PaymentSchedule45[[#This Row],[PMT NO]]&lt;&gt;"",IF(ROW()-ROW(PaymentSchedule45[[#Headers],[BEGINNING BALANCE]])=1,LoanAmount,INDEX(PaymentSchedule45[ENDING BALANCE],ROW()-ROW(PaymentSchedule45[[#Headers],[BEGINNING BALANCE]])-1)),"")</f>
        <v>82260.138704873345</v>
      </c>
      <c r="E286" s="32">
        <f>IF(PaymentSchedule45[[#This Row],[PMT NO]]&lt;&gt;"",ScheduledPayment,"")</f>
        <v>1294.2429434851008</v>
      </c>
      <c r="F28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8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86" s="32">
        <f>IF(PaymentSchedule45[[#This Row],[PMT NO]]&lt;&gt;"",PaymentSchedule45[[#This Row],[TOTAL PAYMENT]]-PaymentSchedule45[[#This Row],[INTEREST]],"")</f>
        <v>622.45181072863511</v>
      </c>
      <c r="I286" s="32">
        <f>IF(PaymentSchedule45[[#This Row],[PMT NO]]&lt;&gt;"",PaymentSchedule45[[#This Row],[BEGINNING BALANCE]]*(InterestRate/PaymentsPerYear),"")</f>
        <v>671.79113275646569</v>
      </c>
      <c r="J28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81637.686894144703</v>
      </c>
      <c r="K286" s="32">
        <f>IF(PaymentSchedule45[[#This Row],[PMT NO]]&lt;&gt;"",SUM(INDEX(PaymentSchedule45[INTEREST],1,1):PaymentSchedule45[[#This Row],[INTEREST]]),"")</f>
        <v>282377.52457860694</v>
      </c>
    </row>
    <row r="287" spans="2:11" x14ac:dyDescent="0.3">
      <c r="B287" s="30">
        <f>IF(LoanIsGood,IF(ROW()-ROW(PaymentSchedule45[[#Headers],[PMT NO]])&gt;ScheduledNumberOfPayments,"",ROW()-ROW(PaymentSchedule45[[#Headers],[PMT NO]])),"")</f>
        <v>272</v>
      </c>
      <c r="C287" s="31">
        <f>IF(PaymentSchedule45[[#This Row],[PMT NO]]&lt;&gt;"",EOMONTH(LoanStartDate,ROW(PaymentSchedule45[[#This Row],[PMT NO]])-ROW(PaymentSchedule45[[#Headers],[PMT NO]])-2)+DAY(LoanStartDate),"")</f>
        <v>51622</v>
      </c>
      <c r="D287" s="32">
        <f>IF(PaymentSchedule45[[#This Row],[PMT NO]]&lt;&gt;"",IF(ROW()-ROW(PaymentSchedule45[[#Headers],[BEGINNING BALANCE]])=1,LoanAmount,INDEX(PaymentSchedule45[ENDING BALANCE],ROW()-ROW(PaymentSchedule45[[#Headers],[BEGINNING BALANCE]])-1)),"")</f>
        <v>81637.686894144703</v>
      </c>
      <c r="E287" s="32">
        <f>IF(PaymentSchedule45[[#This Row],[PMT NO]]&lt;&gt;"",ScheduledPayment,"")</f>
        <v>1294.2429434851008</v>
      </c>
      <c r="F28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8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87" s="32">
        <f>IF(PaymentSchedule45[[#This Row],[PMT NO]]&lt;&gt;"",PaymentSchedule45[[#This Row],[TOTAL PAYMENT]]-PaymentSchedule45[[#This Row],[INTEREST]],"")</f>
        <v>627.53516718291894</v>
      </c>
      <c r="I287" s="32">
        <f>IF(PaymentSchedule45[[#This Row],[PMT NO]]&lt;&gt;"",PaymentSchedule45[[#This Row],[BEGINNING BALANCE]]*(InterestRate/PaymentsPerYear),"")</f>
        <v>666.70777630218186</v>
      </c>
      <c r="J28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81010.151726961791</v>
      </c>
      <c r="K287" s="32">
        <f>IF(PaymentSchedule45[[#This Row],[PMT NO]]&lt;&gt;"",SUM(INDEX(PaymentSchedule45[INTEREST],1,1):PaymentSchedule45[[#This Row],[INTEREST]]),"")</f>
        <v>283044.23235490912</v>
      </c>
    </row>
    <row r="288" spans="2:11" x14ac:dyDescent="0.3">
      <c r="B288" s="30">
        <f>IF(LoanIsGood,IF(ROW()-ROW(PaymentSchedule45[[#Headers],[PMT NO]])&gt;ScheduledNumberOfPayments,"",ROW()-ROW(PaymentSchedule45[[#Headers],[PMT NO]])),"")</f>
        <v>273</v>
      </c>
      <c r="C288" s="31">
        <f>IF(PaymentSchedule45[[#This Row],[PMT NO]]&lt;&gt;"",EOMONTH(LoanStartDate,ROW(PaymentSchedule45[[#This Row],[PMT NO]])-ROW(PaymentSchedule45[[#Headers],[PMT NO]])-2)+DAY(LoanStartDate),"")</f>
        <v>51653</v>
      </c>
      <c r="D288" s="32">
        <f>IF(PaymentSchedule45[[#This Row],[PMT NO]]&lt;&gt;"",IF(ROW()-ROW(PaymentSchedule45[[#Headers],[BEGINNING BALANCE]])=1,LoanAmount,INDEX(PaymentSchedule45[ENDING BALANCE],ROW()-ROW(PaymentSchedule45[[#Headers],[BEGINNING BALANCE]])-1)),"")</f>
        <v>81010.151726961791</v>
      </c>
      <c r="E288" s="32">
        <f>IF(PaymentSchedule45[[#This Row],[PMT NO]]&lt;&gt;"",ScheduledPayment,"")</f>
        <v>1294.2429434851008</v>
      </c>
      <c r="F28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8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88" s="32">
        <f>IF(PaymentSchedule45[[#This Row],[PMT NO]]&lt;&gt;"",PaymentSchedule45[[#This Row],[TOTAL PAYMENT]]-PaymentSchedule45[[#This Row],[INTEREST]],"")</f>
        <v>632.66003771491273</v>
      </c>
      <c r="I288" s="32">
        <f>IF(PaymentSchedule45[[#This Row],[PMT NO]]&lt;&gt;"",PaymentSchedule45[[#This Row],[BEGINNING BALANCE]]*(InterestRate/PaymentsPerYear),"")</f>
        <v>661.58290577018806</v>
      </c>
      <c r="J28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80377.491689246875</v>
      </c>
      <c r="K288" s="32">
        <f>IF(PaymentSchedule45[[#This Row],[PMT NO]]&lt;&gt;"",SUM(INDEX(PaymentSchedule45[INTEREST],1,1):PaymentSchedule45[[#This Row],[INTEREST]]),"")</f>
        <v>283705.81526067929</v>
      </c>
    </row>
    <row r="289" spans="2:11" x14ac:dyDescent="0.3">
      <c r="B289" s="30">
        <f>IF(LoanIsGood,IF(ROW()-ROW(PaymentSchedule45[[#Headers],[PMT NO]])&gt;ScheduledNumberOfPayments,"",ROW()-ROW(PaymentSchedule45[[#Headers],[PMT NO]])),"")</f>
        <v>274</v>
      </c>
      <c r="C289" s="31">
        <f>IF(PaymentSchedule45[[#This Row],[PMT NO]]&lt;&gt;"",EOMONTH(LoanStartDate,ROW(PaymentSchedule45[[#This Row],[PMT NO]])-ROW(PaymentSchedule45[[#Headers],[PMT NO]])-2)+DAY(LoanStartDate),"")</f>
        <v>51683</v>
      </c>
      <c r="D289" s="32">
        <f>IF(PaymentSchedule45[[#This Row],[PMT NO]]&lt;&gt;"",IF(ROW()-ROW(PaymentSchedule45[[#Headers],[BEGINNING BALANCE]])=1,LoanAmount,INDEX(PaymentSchedule45[ENDING BALANCE],ROW()-ROW(PaymentSchedule45[[#Headers],[BEGINNING BALANCE]])-1)),"")</f>
        <v>80377.491689246875</v>
      </c>
      <c r="E289" s="32">
        <f>IF(PaymentSchedule45[[#This Row],[PMT NO]]&lt;&gt;"",ScheduledPayment,"")</f>
        <v>1294.2429434851008</v>
      </c>
      <c r="F28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8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89" s="32">
        <f>IF(PaymentSchedule45[[#This Row],[PMT NO]]&lt;&gt;"",PaymentSchedule45[[#This Row],[TOTAL PAYMENT]]-PaymentSchedule45[[#This Row],[INTEREST]],"")</f>
        <v>637.82676135625127</v>
      </c>
      <c r="I289" s="32">
        <f>IF(PaymentSchedule45[[#This Row],[PMT NO]]&lt;&gt;"",PaymentSchedule45[[#This Row],[BEGINNING BALANCE]]*(InterestRate/PaymentsPerYear),"")</f>
        <v>656.41618212884953</v>
      </c>
      <c r="J28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79739.664927890626</v>
      </c>
      <c r="K289" s="32">
        <f>IF(PaymentSchedule45[[#This Row],[PMT NO]]&lt;&gt;"",SUM(INDEX(PaymentSchedule45[INTEREST],1,1):PaymentSchedule45[[#This Row],[INTEREST]]),"")</f>
        <v>284362.23144280812</v>
      </c>
    </row>
    <row r="290" spans="2:11" x14ac:dyDescent="0.3">
      <c r="B290" s="30">
        <f>IF(LoanIsGood,IF(ROW()-ROW(PaymentSchedule45[[#Headers],[PMT NO]])&gt;ScheduledNumberOfPayments,"",ROW()-ROW(PaymentSchedule45[[#Headers],[PMT NO]])),"")</f>
        <v>275</v>
      </c>
      <c r="C290" s="31">
        <f>IF(PaymentSchedule45[[#This Row],[PMT NO]]&lt;&gt;"",EOMONTH(LoanStartDate,ROW(PaymentSchedule45[[#This Row],[PMT NO]])-ROW(PaymentSchedule45[[#Headers],[PMT NO]])-2)+DAY(LoanStartDate),"")</f>
        <v>51714</v>
      </c>
      <c r="D290" s="32">
        <f>IF(PaymentSchedule45[[#This Row],[PMT NO]]&lt;&gt;"",IF(ROW()-ROW(PaymentSchedule45[[#Headers],[BEGINNING BALANCE]])=1,LoanAmount,INDEX(PaymentSchedule45[ENDING BALANCE],ROW()-ROW(PaymentSchedule45[[#Headers],[BEGINNING BALANCE]])-1)),"")</f>
        <v>79739.664927890626</v>
      </c>
      <c r="E290" s="32">
        <f>IF(PaymentSchedule45[[#This Row],[PMT NO]]&lt;&gt;"",ScheduledPayment,"")</f>
        <v>1294.2429434851008</v>
      </c>
      <c r="F29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9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90" s="32">
        <f>IF(PaymentSchedule45[[#This Row],[PMT NO]]&lt;&gt;"",PaymentSchedule45[[#This Row],[TOTAL PAYMENT]]-PaymentSchedule45[[#This Row],[INTEREST]],"")</f>
        <v>643.03567990732722</v>
      </c>
      <c r="I290" s="32">
        <f>IF(PaymentSchedule45[[#This Row],[PMT NO]]&lt;&gt;"",PaymentSchedule45[[#This Row],[BEGINNING BALANCE]]*(InterestRate/PaymentsPerYear),"")</f>
        <v>651.20726357777357</v>
      </c>
      <c r="J29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79096.629247983292</v>
      </c>
      <c r="K290" s="32">
        <f>IF(PaymentSchedule45[[#This Row],[PMT NO]]&lt;&gt;"",SUM(INDEX(PaymentSchedule45[INTEREST],1,1):PaymentSchedule45[[#This Row],[INTEREST]]),"")</f>
        <v>285013.4387063859</v>
      </c>
    </row>
    <row r="291" spans="2:11" x14ac:dyDescent="0.3">
      <c r="B291" s="30">
        <f>IF(LoanIsGood,IF(ROW()-ROW(PaymentSchedule45[[#Headers],[PMT NO]])&gt;ScheduledNumberOfPayments,"",ROW()-ROW(PaymentSchedule45[[#Headers],[PMT NO]])),"")</f>
        <v>276</v>
      </c>
      <c r="C291" s="31">
        <f>IF(PaymentSchedule45[[#This Row],[PMT NO]]&lt;&gt;"",EOMONTH(LoanStartDate,ROW(PaymentSchedule45[[#This Row],[PMT NO]])-ROW(PaymentSchedule45[[#Headers],[PMT NO]])-2)+DAY(LoanStartDate),"")</f>
        <v>51745</v>
      </c>
      <c r="D291" s="32">
        <f>IF(PaymentSchedule45[[#This Row],[PMT NO]]&lt;&gt;"",IF(ROW()-ROW(PaymentSchedule45[[#Headers],[BEGINNING BALANCE]])=1,LoanAmount,INDEX(PaymentSchedule45[ENDING BALANCE],ROW()-ROW(PaymentSchedule45[[#Headers],[BEGINNING BALANCE]])-1)),"")</f>
        <v>79096.629247983292</v>
      </c>
      <c r="E291" s="32">
        <f>IF(PaymentSchedule45[[#This Row],[PMT NO]]&lt;&gt;"",ScheduledPayment,"")</f>
        <v>1294.2429434851008</v>
      </c>
      <c r="F29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9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91" s="32">
        <f>IF(PaymentSchedule45[[#This Row],[PMT NO]]&lt;&gt;"",PaymentSchedule45[[#This Row],[TOTAL PAYMENT]]-PaymentSchedule45[[#This Row],[INTEREST]],"")</f>
        <v>648.28713795990382</v>
      </c>
      <c r="I291" s="32">
        <f>IF(PaymentSchedule45[[#This Row],[PMT NO]]&lt;&gt;"",PaymentSchedule45[[#This Row],[BEGINNING BALANCE]]*(InterestRate/PaymentsPerYear),"")</f>
        <v>645.95580552519698</v>
      </c>
      <c r="J29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78448.342110023383</v>
      </c>
      <c r="K291" s="32">
        <f>IF(PaymentSchedule45[[#This Row],[PMT NO]]&lt;&gt;"",SUM(INDEX(PaymentSchedule45[INTEREST],1,1):PaymentSchedule45[[#This Row],[INTEREST]]),"")</f>
        <v>285659.39451191109</v>
      </c>
    </row>
    <row r="292" spans="2:11" x14ac:dyDescent="0.3">
      <c r="B292" s="30">
        <f>IF(LoanIsGood,IF(ROW()-ROW(PaymentSchedule45[[#Headers],[PMT NO]])&gt;ScheduledNumberOfPayments,"",ROW()-ROW(PaymentSchedule45[[#Headers],[PMT NO]])),"")</f>
        <v>277</v>
      </c>
      <c r="C292" s="31">
        <f>IF(PaymentSchedule45[[#This Row],[PMT NO]]&lt;&gt;"",EOMONTH(LoanStartDate,ROW(PaymentSchedule45[[#This Row],[PMT NO]])-ROW(PaymentSchedule45[[#Headers],[PMT NO]])-2)+DAY(LoanStartDate),"")</f>
        <v>51775</v>
      </c>
      <c r="D292" s="32">
        <f>IF(PaymentSchedule45[[#This Row],[PMT NO]]&lt;&gt;"",IF(ROW()-ROW(PaymentSchedule45[[#Headers],[BEGINNING BALANCE]])=1,LoanAmount,INDEX(PaymentSchedule45[ENDING BALANCE],ROW()-ROW(PaymentSchedule45[[#Headers],[BEGINNING BALANCE]])-1)),"")</f>
        <v>78448.342110023383</v>
      </c>
      <c r="E292" s="32">
        <f>IF(PaymentSchedule45[[#This Row],[PMT NO]]&lt;&gt;"",ScheduledPayment,"")</f>
        <v>1294.2429434851008</v>
      </c>
      <c r="F29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9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92" s="32">
        <f>IF(PaymentSchedule45[[#This Row],[PMT NO]]&lt;&gt;"",PaymentSchedule45[[#This Row],[TOTAL PAYMENT]]-PaymentSchedule45[[#This Row],[INTEREST]],"")</f>
        <v>653.58148291990972</v>
      </c>
      <c r="I292" s="32">
        <f>IF(PaymentSchedule45[[#This Row],[PMT NO]]&lt;&gt;"",PaymentSchedule45[[#This Row],[BEGINNING BALANCE]]*(InterestRate/PaymentsPerYear),"")</f>
        <v>640.66146056519108</v>
      </c>
      <c r="J29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77794.760627103475</v>
      </c>
      <c r="K292" s="32">
        <f>IF(PaymentSchedule45[[#This Row],[PMT NO]]&lt;&gt;"",SUM(INDEX(PaymentSchedule45[INTEREST],1,1):PaymentSchedule45[[#This Row],[INTEREST]]),"")</f>
        <v>286300.05597247626</v>
      </c>
    </row>
    <row r="293" spans="2:11" x14ac:dyDescent="0.3">
      <c r="B293" s="30">
        <f>IF(LoanIsGood,IF(ROW()-ROW(PaymentSchedule45[[#Headers],[PMT NO]])&gt;ScheduledNumberOfPayments,"",ROW()-ROW(PaymentSchedule45[[#Headers],[PMT NO]])),"")</f>
        <v>278</v>
      </c>
      <c r="C293" s="31">
        <f>IF(PaymentSchedule45[[#This Row],[PMT NO]]&lt;&gt;"",EOMONTH(LoanStartDate,ROW(PaymentSchedule45[[#This Row],[PMT NO]])-ROW(PaymentSchedule45[[#Headers],[PMT NO]])-2)+DAY(LoanStartDate),"")</f>
        <v>51806</v>
      </c>
      <c r="D293" s="32">
        <f>IF(PaymentSchedule45[[#This Row],[PMT NO]]&lt;&gt;"",IF(ROW()-ROW(PaymentSchedule45[[#Headers],[BEGINNING BALANCE]])=1,LoanAmount,INDEX(PaymentSchedule45[ENDING BALANCE],ROW()-ROW(PaymentSchedule45[[#Headers],[BEGINNING BALANCE]])-1)),"")</f>
        <v>77794.760627103475</v>
      </c>
      <c r="E293" s="32">
        <f>IF(PaymentSchedule45[[#This Row],[PMT NO]]&lt;&gt;"",ScheduledPayment,"")</f>
        <v>1294.2429434851008</v>
      </c>
      <c r="F29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9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93" s="32">
        <f>IF(PaymentSchedule45[[#This Row],[PMT NO]]&lt;&gt;"",PaymentSchedule45[[#This Row],[TOTAL PAYMENT]]-PaymentSchedule45[[#This Row],[INTEREST]],"")</f>
        <v>658.9190650304223</v>
      </c>
      <c r="I293" s="32">
        <f>IF(PaymentSchedule45[[#This Row],[PMT NO]]&lt;&gt;"",PaymentSchedule45[[#This Row],[BEGINNING BALANCE]]*(InterestRate/PaymentsPerYear),"")</f>
        <v>635.32387845467849</v>
      </c>
      <c r="J29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77135.841562073052</v>
      </c>
      <c r="K293" s="32">
        <f>IF(PaymentSchedule45[[#This Row],[PMT NO]]&lt;&gt;"",SUM(INDEX(PaymentSchedule45[INTEREST],1,1):PaymentSchedule45[[#This Row],[INTEREST]]),"")</f>
        <v>286935.37985093094</v>
      </c>
    </row>
    <row r="294" spans="2:11" x14ac:dyDescent="0.3">
      <c r="B294" s="30">
        <f>IF(LoanIsGood,IF(ROW()-ROW(PaymentSchedule45[[#Headers],[PMT NO]])&gt;ScheduledNumberOfPayments,"",ROW()-ROW(PaymentSchedule45[[#Headers],[PMT NO]])),"")</f>
        <v>279</v>
      </c>
      <c r="C294" s="31">
        <f>IF(PaymentSchedule45[[#This Row],[PMT NO]]&lt;&gt;"",EOMONTH(LoanStartDate,ROW(PaymentSchedule45[[#This Row],[PMT NO]])-ROW(PaymentSchedule45[[#Headers],[PMT NO]])-2)+DAY(LoanStartDate),"")</f>
        <v>51836</v>
      </c>
      <c r="D294" s="32">
        <f>IF(PaymentSchedule45[[#This Row],[PMT NO]]&lt;&gt;"",IF(ROW()-ROW(PaymentSchedule45[[#Headers],[BEGINNING BALANCE]])=1,LoanAmount,INDEX(PaymentSchedule45[ENDING BALANCE],ROW()-ROW(PaymentSchedule45[[#Headers],[BEGINNING BALANCE]])-1)),"")</f>
        <v>77135.841562073052</v>
      </c>
      <c r="E294" s="32">
        <f>IF(PaymentSchedule45[[#This Row],[PMT NO]]&lt;&gt;"",ScheduledPayment,"")</f>
        <v>1294.2429434851008</v>
      </c>
      <c r="F29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9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94" s="32">
        <f>IF(PaymentSchedule45[[#This Row],[PMT NO]]&lt;&gt;"",PaymentSchedule45[[#This Row],[TOTAL PAYMENT]]-PaymentSchedule45[[#This Row],[INTEREST]],"")</f>
        <v>664.3002373948375</v>
      </c>
      <c r="I294" s="32">
        <f>IF(PaymentSchedule45[[#This Row],[PMT NO]]&lt;&gt;"",PaymentSchedule45[[#This Row],[BEGINNING BALANCE]]*(InterestRate/PaymentsPerYear),"")</f>
        <v>629.9427060902633</v>
      </c>
      <c r="J29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76471.541324678212</v>
      </c>
      <c r="K294" s="32">
        <f>IF(PaymentSchedule45[[#This Row],[PMT NO]]&lt;&gt;"",SUM(INDEX(PaymentSchedule45[INTEREST],1,1):PaymentSchedule45[[#This Row],[INTEREST]]),"")</f>
        <v>287565.32255702122</v>
      </c>
    </row>
    <row r="295" spans="2:11" x14ac:dyDescent="0.3">
      <c r="B295" s="30">
        <f>IF(LoanIsGood,IF(ROW()-ROW(PaymentSchedule45[[#Headers],[PMT NO]])&gt;ScheduledNumberOfPayments,"",ROW()-ROW(PaymentSchedule45[[#Headers],[PMT NO]])),"")</f>
        <v>280</v>
      </c>
      <c r="C295" s="31">
        <f>IF(PaymentSchedule45[[#This Row],[PMT NO]]&lt;&gt;"",EOMONTH(LoanStartDate,ROW(PaymentSchedule45[[#This Row],[PMT NO]])-ROW(PaymentSchedule45[[#Headers],[PMT NO]])-2)+DAY(LoanStartDate),"")</f>
        <v>51867</v>
      </c>
      <c r="D295" s="32">
        <f>IF(PaymentSchedule45[[#This Row],[PMT NO]]&lt;&gt;"",IF(ROW()-ROW(PaymentSchedule45[[#Headers],[BEGINNING BALANCE]])=1,LoanAmount,INDEX(PaymentSchedule45[ENDING BALANCE],ROW()-ROW(PaymentSchedule45[[#Headers],[BEGINNING BALANCE]])-1)),"")</f>
        <v>76471.541324678212</v>
      </c>
      <c r="E295" s="32">
        <f>IF(PaymentSchedule45[[#This Row],[PMT NO]]&lt;&gt;"",ScheduledPayment,"")</f>
        <v>1294.2429434851008</v>
      </c>
      <c r="F29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9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95" s="32">
        <f>IF(PaymentSchedule45[[#This Row],[PMT NO]]&lt;&gt;"",PaymentSchedule45[[#This Row],[TOTAL PAYMENT]]-PaymentSchedule45[[#This Row],[INTEREST]],"")</f>
        <v>669.72535600022866</v>
      </c>
      <c r="I295" s="32">
        <f>IF(PaymentSchedule45[[#This Row],[PMT NO]]&lt;&gt;"",PaymentSchedule45[[#This Row],[BEGINNING BALANCE]]*(InterestRate/PaymentsPerYear),"")</f>
        <v>624.51758748487214</v>
      </c>
      <c r="J29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75801.815968677984</v>
      </c>
      <c r="K295" s="32">
        <f>IF(PaymentSchedule45[[#This Row],[PMT NO]]&lt;&gt;"",SUM(INDEX(PaymentSchedule45[INTEREST],1,1):PaymentSchedule45[[#This Row],[INTEREST]]),"")</f>
        <v>288189.84014450607</v>
      </c>
    </row>
    <row r="296" spans="2:11" x14ac:dyDescent="0.3">
      <c r="B296" s="30">
        <f>IF(LoanIsGood,IF(ROW()-ROW(PaymentSchedule45[[#Headers],[PMT NO]])&gt;ScheduledNumberOfPayments,"",ROW()-ROW(PaymentSchedule45[[#Headers],[PMT NO]])),"")</f>
        <v>281</v>
      </c>
      <c r="C296" s="31">
        <f>IF(PaymentSchedule45[[#This Row],[PMT NO]]&lt;&gt;"",EOMONTH(LoanStartDate,ROW(PaymentSchedule45[[#This Row],[PMT NO]])-ROW(PaymentSchedule45[[#Headers],[PMT NO]])-2)+DAY(LoanStartDate),"")</f>
        <v>51898</v>
      </c>
      <c r="D296" s="32">
        <f>IF(PaymentSchedule45[[#This Row],[PMT NO]]&lt;&gt;"",IF(ROW()-ROW(PaymentSchedule45[[#Headers],[BEGINNING BALANCE]])=1,LoanAmount,INDEX(PaymentSchedule45[ENDING BALANCE],ROW()-ROW(PaymentSchedule45[[#Headers],[BEGINNING BALANCE]])-1)),"")</f>
        <v>75801.815968677984</v>
      </c>
      <c r="E296" s="32">
        <f>IF(PaymentSchedule45[[#This Row],[PMT NO]]&lt;&gt;"",ScheduledPayment,"")</f>
        <v>1294.2429434851008</v>
      </c>
      <c r="F29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9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96" s="32">
        <f>IF(PaymentSchedule45[[#This Row],[PMT NO]]&lt;&gt;"",PaymentSchedule45[[#This Row],[TOTAL PAYMENT]]-PaymentSchedule45[[#This Row],[INTEREST]],"")</f>
        <v>675.19477974089716</v>
      </c>
      <c r="I296" s="32">
        <f>IF(PaymentSchedule45[[#This Row],[PMT NO]]&lt;&gt;"",PaymentSchedule45[[#This Row],[BEGINNING BALANCE]]*(InterestRate/PaymentsPerYear),"")</f>
        <v>619.04816374420363</v>
      </c>
      <c r="J29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75126.62118893709</v>
      </c>
      <c r="K296" s="32">
        <f>IF(PaymentSchedule45[[#This Row],[PMT NO]]&lt;&gt;"",SUM(INDEX(PaymentSchedule45[INTEREST],1,1):PaymentSchedule45[[#This Row],[INTEREST]]),"")</f>
        <v>288808.88830825029</v>
      </c>
    </row>
    <row r="297" spans="2:11" x14ac:dyDescent="0.3">
      <c r="B297" s="30">
        <f>IF(LoanIsGood,IF(ROW()-ROW(PaymentSchedule45[[#Headers],[PMT NO]])&gt;ScheduledNumberOfPayments,"",ROW()-ROW(PaymentSchedule45[[#Headers],[PMT NO]])),"")</f>
        <v>282</v>
      </c>
      <c r="C297" s="31">
        <f>IF(PaymentSchedule45[[#This Row],[PMT NO]]&lt;&gt;"",EOMONTH(LoanStartDate,ROW(PaymentSchedule45[[#This Row],[PMT NO]])-ROW(PaymentSchedule45[[#Headers],[PMT NO]])-2)+DAY(LoanStartDate),"")</f>
        <v>51926</v>
      </c>
      <c r="D297" s="32">
        <f>IF(PaymentSchedule45[[#This Row],[PMT NO]]&lt;&gt;"",IF(ROW()-ROW(PaymentSchedule45[[#Headers],[BEGINNING BALANCE]])=1,LoanAmount,INDEX(PaymentSchedule45[ENDING BALANCE],ROW()-ROW(PaymentSchedule45[[#Headers],[BEGINNING BALANCE]])-1)),"")</f>
        <v>75126.62118893709</v>
      </c>
      <c r="E297" s="32">
        <f>IF(PaymentSchedule45[[#This Row],[PMT NO]]&lt;&gt;"",ScheduledPayment,"")</f>
        <v>1294.2429434851008</v>
      </c>
      <c r="F29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9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97" s="32">
        <f>IF(PaymentSchedule45[[#This Row],[PMT NO]]&lt;&gt;"",PaymentSchedule45[[#This Row],[TOTAL PAYMENT]]-PaymentSchedule45[[#This Row],[INTEREST]],"")</f>
        <v>680.70887044211452</v>
      </c>
      <c r="I297" s="32">
        <f>IF(PaymentSchedule45[[#This Row],[PMT NO]]&lt;&gt;"",PaymentSchedule45[[#This Row],[BEGINNING BALANCE]]*(InterestRate/PaymentsPerYear),"")</f>
        <v>613.53407304298628</v>
      </c>
      <c r="J29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74445.912318494971</v>
      </c>
      <c r="K297" s="32">
        <f>IF(PaymentSchedule45[[#This Row],[PMT NO]]&lt;&gt;"",SUM(INDEX(PaymentSchedule45[INTEREST],1,1):PaymentSchedule45[[#This Row],[INTEREST]]),"")</f>
        <v>289422.42238129326</v>
      </c>
    </row>
    <row r="298" spans="2:11" x14ac:dyDescent="0.3">
      <c r="B298" s="30">
        <f>IF(LoanIsGood,IF(ROW()-ROW(PaymentSchedule45[[#Headers],[PMT NO]])&gt;ScheduledNumberOfPayments,"",ROW()-ROW(PaymentSchedule45[[#Headers],[PMT NO]])),"")</f>
        <v>283</v>
      </c>
      <c r="C298" s="31">
        <f>IF(PaymentSchedule45[[#This Row],[PMT NO]]&lt;&gt;"",EOMONTH(LoanStartDate,ROW(PaymentSchedule45[[#This Row],[PMT NO]])-ROW(PaymentSchedule45[[#Headers],[PMT NO]])-2)+DAY(LoanStartDate),"")</f>
        <v>51957</v>
      </c>
      <c r="D298" s="32">
        <f>IF(PaymentSchedule45[[#This Row],[PMT NO]]&lt;&gt;"",IF(ROW()-ROW(PaymentSchedule45[[#Headers],[BEGINNING BALANCE]])=1,LoanAmount,INDEX(PaymentSchedule45[ENDING BALANCE],ROW()-ROW(PaymentSchedule45[[#Headers],[BEGINNING BALANCE]])-1)),"")</f>
        <v>74445.912318494971</v>
      </c>
      <c r="E298" s="32">
        <f>IF(PaymentSchedule45[[#This Row],[PMT NO]]&lt;&gt;"",ScheduledPayment,"")</f>
        <v>1294.2429434851008</v>
      </c>
      <c r="F29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9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98" s="32">
        <f>IF(PaymentSchedule45[[#This Row],[PMT NO]]&lt;&gt;"",PaymentSchedule45[[#This Row],[TOTAL PAYMENT]]-PaymentSchedule45[[#This Row],[INTEREST]],"")</f>
        <v>686.26799288405846</v>
      </c>
      <c r="I298" s="32">
        <f>IF(PaymentSchedule45[[#This Row],[PMT NO]]&lt;&gt;"",PaymentSchedule45[[#This Row],[BEGINNING BALANCE]]*(InterestRate/PaymentsPerYear),"")</f>
        <v>607.97495060104234</v>
      </c>
      <c r="J29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73759.64432561092</v>
      </c>
      <c r="K298" s="32">
        <f>IF(PaymentSchedule45[[#This Row],[PMT NO]]&lt;&gt;"",SUM(INDEX(PaymentSchedule45[INTEREST],1,1):PaymentSchedule45[[#This Row],[INTEREST]]),"")</f>
        <v>290030.39733189432</v>
      </c>
    </row>
    <row r="299" spans="2:11" x14ac:dyDescent="0.3">
      <c r="B299" s="30">
        <f>IF(LoanIsGood,IF(ROW()-ROW(PaymentSchedule45[[#Headers],[PMT NO]])&gt;ScheduledNumberOfPayments,"",ROW()-ROW(PaymentSchedule45[[#Headers],[PMT NO]])),"")</f>
        <v>284</v>
      </c>
      <c r="C299" s="31">
        <f>IF(PaymentSchedule45[[#This Row],[PMT NO]]&lt;&gt;"",EOMONTH(LoanStartDate,ROW(PaymentSchedule45[[#This Row],[PMT NO]])-ROW(PaymentSchedule45[[#Headers],[PMT NO]])-2)+DAY(LoanStartDate),"")</f>
        <v>51987</v>
      </c>
      <c r="D299" s="32">
        <f>IF(PaymentSchedule45[[#This Row],[PMT NO]]&lt;&gt;"",IF(ROW()-ROW(PaymentSchedule45[[#Headers],[BEGINNING BALANCE]])=1,LoanAmount,INDEX(PaymentSchedule45[ENDING BALANCE],ROW()-ROW(PaymentSchedule45[[#Headers],[BEGINNING BALANCE]])-1)),"")</f>
        <v>73759.64432561092</v>
      </c>
      <c r="E299" s="32">
        <f>IF(PaymentSchedule45[[#This Row],[PMT NO]]&lt;&gt;"",ScheduledPayment,"")</f>
        <v>1294.2429434851008</v>
      </c>
      <c r="F29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29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299" s="32">
        <f>IF(PaymentSchedule45[[#This Row],[PMT NO]]&lt;&gt;"",PaymentSchedule45[[#This Row],[TOTAL PAYMENT]]-PaymentSchedule45[[#This Row],[INTEREST]],"")</f>
        <v>691.8725148259449</v>
      </c>
      <c r="I299" s="32">
        <f>IF(PaymentSchedule45[[#This Row],[PMT NO]]&lt;&gt;"",PaymentSchedule45[[#This Row],[BEGINNING BALANCE]]*(InterestRate/PaymentsPerYear),"")</f>
        <v>602.37042865915589</v>
      </c>
      <c r="J29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73067.77181078498</v>
      </c>
      <c r="K299" s="32">
        <f>IF(PaymentSchedule45[[#This Row],[PMT NO]]&lt;&gt;"",SUM(INDEX(PaymentSchedule45[INTEREST],1,1):PaymentSchedule45[[#This Row],[INTEREST]]),"")</f>
        <v>290632.76776055346</v>
      </c>
    </row>
    <row r="300" spans="2:11" x14ac:dyDescent="0.3">
      <c r="B300" s="30">
        <f>IF(LoanIsGood,IF(ROW()-ROW(PaymentSchedule45[[#Headers],[PMT NO]])&gt;ScheduledNumberOfPayments,"",ROW()-ROW(PaymentSchedule45[[#Headers],[PMT NO]])),"")</f>
        <v>285</v>
      </c>
      <c r="C300" s="31">
        <f>IF(PaymentSchedule45[[#This Row],[PMT NO]]&lt;&gt;"",EOMONTH(LoanStartDate,ROW(PaymentSchedule45[[#This Row],[PMT NO]])-ROW(PaymentSchedule45[[#Headers],[PMT NO]])-2)+DAY(LoanStartDate),"")</f>
        <v>52018</v>
      </c>
      <c r="D300" s="32">
        <f>IF(PaymentSchedule45[[#This Row],[PMT NO]]&lt;&gt;"",IF(ROW()-ROW(PaymentSchedule45[[#Headers],[BEGINNING BALANCE]])=1,LoanAmount,INDEX(PaymentSchedule45[ENDING BALANCE],ROW()-ROW(PaymentSchedule45[[#Headers],[BEGINNING BALANCE]])-1)),"")</f>
        <v>73067.77181078498</v>
      </c>
      <c r="E300" s="32">
        <f>IF(PaymentSchedule45[[#This Row],[PMT NO]]&lt;&gt;"",ScheduledPayment,"")</f>
        <v>1294.2429434851008</v>
      </c>
      <c r="F30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0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00" s="32">
        <f>IF(PaymentSchedule45[[#This Row],[PMT NO]]&lt;&gt;"",PaymentSchedule45[[#This Row],[TOTAL PAYMENT]]-PaymentSchedule45[[#This Row],[INTEREST]],"")</f>
        <v>697.52280703035672</v>
      </c>
      <c r="I300" s="32">
        <f>IF(PaymentSchedule45[[#This Row],[PMT NO]]&lt;&gt;"",PaymentSchedule45[[#This Row],[BEGINNING BALANCE]]*(InterestRate/PaymentsPerYear),"")</f>
        <v>596.72013645474408</v>
      </c>
      <c r="J30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72370.249003754623</v>
      </c>
      <c r="K300" s="32">
        <f>IF(PaymentSchedule45[[#This Row],[PMT NO]]&lt;&gt;"",SUM(INDEX(PaymentSchedule45[INTEREST],1,1):PaymentSchedule45[[#This Row],[INTEREST]]),"")</f>
        <v>291229.48789700819</v>
      </c>
    </row>
    <row r="301" spans="2:11" x14ac:dyDescent="0.3">
      <c r="B301" s="30">
        <f>IF(LoanIsGood,IF(ROW()-ROW(PaymentSchedule45[[#Headers],[PMT NO]])&gt;ScheduledNumberOfPayments,"",ROW()-ROW(PaymentSchedule45[[#Headers],[PMT NO]])),"")</f>
        <v>286</v>
      </c>
      <c r="C301" s="31">
        <f>IF(PaymentSchedule45[[#This Row],[PMT NO]]&lt;&gt;"",EOMONTH(LoanStartDate,ROW(PaymentSchedule45[[#This Row],[PMT NO]])-ROW(PaymentSchedule45[[#Headers],[PMT NO]])-2)+DAY(LoanStartDate),"")</f>
        <v>52048</v>
      </c>
      <c r="D301" s="32">
        <f>IF(PaymentSchedule45[[#This Row],[PMT NO]]&lt;&gt;"",IF(ROW()-ROW(PaymentSchedule45[[#Headers],[BEGINNING BALANCE]])=1,LoanAmount,INDEX(PaymentSchedule45[ENDING BALANCE],ROW()-ROW(PaymentSchedule45[[#Headers],[BEGINNING BALANCE]])-1)),"")</f>
        <v>72370.249003754623</v>
      </c>
      <c r="E301" s="32">
        <f>IF(PaymentSchedule45[[#This Row],[PMT NO]]&lt;&gt;"",ScheduledPayment,"")</f>
        <v>1294.2429434851008</v>
      </c>
      <c r="F30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0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01" s="32">
        <f>IF(PaymentSchedule45[[#This Row],[PMT NO]]&lt;&gt;"",PaymentSchedule45[[#This Row],[TOTAL PAYMENT]]-PaymentSchedule45[[#This Row],[INTEREST]],"")</f>
        <v>703.21924328777129</v>
      </c>
      <c r="I301" s="32">
        <f>IF(PaymentSchedule45[[#This Row],[PMT NO]]&lt;&gt;"",PaymentSchedule45[[#This Row],[BEGINNING BALANCE]]*(InterestRate/PaymentsPerYear),"")</f>
        <v>591.0237001973295</v>
      </c>
      <c r="J30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71667.029760466845</v>
      </c>
      <c r="K301" s="32">
        <f>IF(PaymentSchedule45[[#This Row],[PMT NO]]&lt;&gt;"",SUM(INDEX(PaymentSchedule45[INTEREST],1,1):PaymentSchedule45[[#This Row],[INTEREST]]),"")</f>
        <v>291820.51159720554</v>
      </c>
    </row>
    <row r="302" spans="2:11" x14ac:dyDescent="0.3">
      <c r="B302" s="30">
        <f>IF(LoanIsGood,IF(ROW()-ROW(PaymentSchedule45[[#Headers],[PMT NO]])&gt;ScheduledNumberOfPayments,"",ROW()-ROW(PaymentSchedule45[[#Headers],[PMT NO]])),"")</f>
        <v>287</v>
      </c>
      <c r="C302" s="31">
        <f>IF(PaymentSchedule45[[#This Row],[PMT NO]]&lt;&gt;"",EOMONTH(LoanStartDate,ROW(PaymentSchedule45[[#This Row],[PMT NO]])-ROW(PaymentSchedule45[[#Headers],[PMT NO]])-2)+DAY(LoanStartDate),"")</f>
        <v>52079</v>
      </c>
      <c r="D302" s="32">
        <f>IF(PaymentSchedule45[[#This Row],[PMT NO]]&lt;&gt;"",IF(ROW()-ROW(PaymentSchedule45[[#Headers],[BEGINNING BALANCE]])=1,LoanAmount,INDEX(PaymentSchedule45[ENDING BALANCE],ROW()-ROW(PaymentSchedule45[[#Headers],[BEGINNING BALANCE]])-1)),"")</f>
        <v>71667.029760466845</v>
      </c>
      <c r="E302" s="32">
        <f>IF(PaymentSchedule45[[#This Row],[PMT NO]]&lt;&gt;"",ScheduledPayment,"")</f>
        <v>1294.2429434851008</v>
      </c>
      <c r="F30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0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02" s="32">
        <f>IF(PaymentSchedule45[[#This Row],[PMT NO]]&lt;&gt;"",PaymentSchedule45[[#This Row],[TOTAL PAYMENT]]-PaymentSchedule45[[#This Row],[INTEREST]],"")</f>
        <v>708.96220044128813</v>
      </c>
      <c r="I302" s="32">
        <f>IF(PaymentSchedule45[[#This Row],[PMT NO]]&lt;&gt;"",PaymentSchedule45[[#This Row],[BEGINNING BALANCE]]*(InterestRate/PaymentsPerYear),"")</f>
        <v>585.28074304381266</v>
      </c>
      <c r="J30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70958.067560025564</v>
      </c>
      <c r="K302" s="32">
        <f>IF(PaymentSchedule45[[#This Row],[PMT NO]]&lt;&gt;"",SUM(INDEX(PaymentSchedule45[INTEREST],1,1):PaymentSchedule45[[#This Row],[INTEREST]]),"")</f>
        <v>292405.79234024935</v>
      </c>
    </row>
    <row r="303" spans="2:11" x14ac:dyDescent="0.3">
      <c r="B303" s="30">
        <f>IF(LoanIsGood,IF(ROW()-ROW(PaymentSchedule45[[#Headers],[PMT NO]])&gt;ScheduledNumberOfPayments,"",ROW()-ROW(PaymentSchedule45[[#Headers],[PMT NO]])),"")</f>
        <v>288</v>
      </c>
      <c r="C303" s="31">
        <f>IF(PaymentSchedule45[[#This Row],[PMT NO]]&lt;&gt;"",EOMONTH(LoanStartDate,ROW(PaymentSchedule45[[#This Row],[PMT NO]])-ROW(PaymentSchedule45[[#Headers],[PMT NO]])-2)+DAY(LoanStartDate),"")</f>
        <v>52110</v>
      </c>
      <c r="D303" s="32">
        <f>IF(PaymentSchedule45[[#This Row],[PMT NO]]&lt;&gt;"",IF(ROW()-ROW(PaymentSchedule45[[#Headers],[BEGINNING BALANCE]])=1,LoanAmount,INDEX(PaymentSchedule45[ENDING BALANCE],ROW()-ROW(PaymentSchedule45[[#Headers],[BEGINNING BALANCE]])-1)),"")</f>
        <v>70958.067560025564</v>
      </c>
      <c r="E303" s="32">
        <f>IF(PaymentSchedule45[[#This Row],[PMT NO]]&lt;&gt;"",ScheduledPayment,"")</f>
        <v>1294.2429434851008</v>
      </c>
      <c r="F30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0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03" s="32">
        <f>IF(PaymentSchedule45[[#This Row],[PMT NO]]&lt;&gt;"",PaymentSchedule45[[#This Row],[TOTAL PAYMENT]]-PaymentSchedule45[[#This Row],[INTEREST]],"")</f>
        <v>714.75205841155866</v>
      </c>
      <c r="I303" s="32">
        <f>IF(PaymentSchedule45[[#This Row],[PMT NO]]&lt;&gt;"",PaymentSchedule45[[#This Row],[BEGINNING BALANCE]]*(InterestRate/PaymentsPerYear),"")</f>
        <v>579.49088507354213</v>
      </c>
      <c r="J30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70243.315501614008</v>
      </c>
      <c r="K303" s="32">
        <f>IF(PaymentSchedule45[[#This Row],[PMT NO]]&lt;&gt;"",SUM(INDEX(PaymentSchedule45[INTEREST],1,1):PaymentSchedule45[[#This Row],[INTEREST]]),"")</f>
        <v>292985.2832253229</v>
      </c>
    </row>
    <row r="304" spans="2:11" x14ac:dyDescent="0.3">
      <c r="B304" s="30">
        <f>IF(LoanIsGood,IF(ROW()-ROW(PaymentSchedule45[[#Headers],[PMT NO]])&gt;ScheduledNumberOfPayments,"",ROW()-ROW(PaymentSchedule45[[#Headers],[PMT NO]])),"")</f>
        <v>289</v>
      </c>
      <c r="C304" s="31">
        <f>IF(PaymentSchedule45[[#This Row],[PMT NO]]&lt;&gt;"",EOMONTH(LoanStartDate,ROW(PaymentSchedule45[[#This Row],[PMT NO]])-ROW(PaymentSchedule45[[#Headers],[PMT NO]])-2)+DAY(LoanStartDate),"")</f>
        <v>52140</v>
      </c>
      <c r="D304" s="32">
        <f>IF(PaymentSchedule45[[#This Row],[PMT NO]]&lt;&gt;"",IF(ROW()-ROW(PaymentSchedule45[[#Headers],[BEGINNING BALANCE]])=1,LoanAmount,INDEX(PaymentSchedule45[ENDING BALANCE],ROW()-ROW(PaymentSchedule45[[#Headers],[BEGINNING BALANCE]])-1)),"")</f>
        <v>70243.315501614008</v>
      </c>
      <c r="E304" s="32">
        <f>IF(PaymentSchedule45[[#This Row],[PMT NO]]&lt;&gt;"",ScheduledPayment,"")</f>
        <v>1294.2429434851008</v>
      </c>
      <c r="F30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0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04" s="32">
        <f>IF(PaymentSchedule45[[#This Row],[PMT NO]]&lt;&gt;"",PaymentSchedule45[[#This Row],[TOTAL PAYMENT]]-PaymentSchedule45[[#This Row],[INTEREST]],"")</f>
        <v>720.58920022191967</v>
      </c>
      <c r="I304" s="32">
        <f>IF(PaymentSchedule45[[#This Row],[PMT NO]]&lt;&gt;"",PaymentSchedule45[[#This Row],[BEGINNING BALANCE]]*(InterestRate/PaymentsPerYear),"")</f>
        <v>573.65374326318113</v>
      </c>
      <c r="J30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69522.726301392089</v>
      </c>
      <c r="K304" s="32">
        <f>IF(PaymentSchedule45[[#This Row],[PMT NO]]&lt;&gt;"",SUM(INDEX(PaymentSchedule45[INTEREST],1,1):PaymentSchedule45[[#This Row],[INTEREST]]),"")</f>
        <v>293558.93696858606</v>
      </c>
    </row>
    <row r="305" spans="2:11" x14ac:dyDescent="0.3">
      <c r="B305" s="30">
        <f>IF(LoanIsGood,IF(ROW()-ROW(PaymentSchedule45[[#Headers],[PMT NO]])&gt;ScheduledNumberOfPayments,"",ROW()-ROW(PaymentSchedule45[[#Headers],[PMT NO]])),"")</f>
        <v>290</v>
      </c>
      <c r="C305" s="31">
        <f>IF(PaymentSchedule45[[#This Row],[PMT NO]]&lt;&gt;"",EOMONTH(LoanStartDate,ROW(PaymentSchedule45[[#This Row],[PMT NO]])-ROW(PaymentSchedule45[[#Headers],[PMT NO]])-2)+DAY(LoanStartDate),"")</f>
        <v>52171</v>
      </c>
      <c r="D305" s="32">
        <f>IF(PaymentSchedule45[[#This Row],[PMT NO]]&lt;&gt;"",IF(ROW()-ROW(PaymentSchedule45[[#Headers],[BEGINNING BALANCE]])=1,LoanAmount,INDEX(PaymentSchedule45[ENDING BALANCE],ROW()-ROW(PaymentSchedule45[[#Headers],[BEGINNING BALANCE]])-1)),"")</f>
        <v>69522.726301392089</v>
      </c>
      <c r="E305" s="32">
        <f>IF(PaymentSchedule45[[#This Row],[PMT NO]]&lt;&gt;"",ScheduledPayment,"")</f>
        <v>1294.2429434851008</v>
      </c>
      <c r="F30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0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05" s="32">
        <f>IF(PaymentSchedule45[[#This Row],[PMT NO]]&lt;&gt;"",PaymentSchedule45[[#This Row],[TOTAL PAYMENT]]-PaymentSchedule45[[#This Row],[INTEREST]],"")</f>
        <v>726.47401202373203</v>
      </c>
      <c r="I305" s="32">
        <f>IF(PaymentSchedule45[[#This Row],[PMT NO]]&lt;&gt;"",PaymentSchedule45[[#This Row],[BEGINNING BALANCE]]*(InterestRate/PaymentsPerYear),"")</f>
        <v>567.76893146136877</v>
      </c>
      <c r="J30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68796.252289368364</v>
      </c>
      <c r="K305" s="32">
        <f>IF(PaymentSchedule45[[#This Row],[PMT NO]]&lt;&gt;"",SUM(INDEX(PaymentSchedule45[INTEREST],1,1):PaymentSchedule45[[#This Row],[INTEREST]]),"")</f>
        <v>294126.70590004744</v>
      </c>
    </row>
    <row r="306" spans="2:11" x14ac:dyDescent="0.3">
      <c r="B306" s="30">
        <f>IF(LoanIsGood,IF(ROW()-ROW(PaymentSchedule45[[#Headers],[PMT NO]])&gt;ScheduledNumberOfPayments,"",ROW()-ROW(PaymentSchedule45[[#Headers],[PMT NO]])),"")</f>
        <v>291</v>
      </c>
      <c r="C306" s="31">
        <f>IF(PaymentSchedule45[[#This Row],[PMT NO]]&lt;&gt;"",EOMONTH(LoanStartDate,ROW(PaymentSchedule45[[#This Row],[PMT NO]])-ROW(PaymentSchedule45[[#Headers],[PMT NO]])-2)+DAY(LoanStartDate),"")</f>
        <v>52201</v>
      </c>
      <c r="D306" s="32">
        <f>IF(PaymentSchedule45[[#This Row],[PMT NO]]&lt;&gt;"",IF(ROW()-ROW(PaymentSchedule45[[#Headers],[BEGINNING BALANCE]])=1,LoanAmount,INDEX(PaymentSchedule45[ENDING BALANCE],ROW()-ROW(PaymentSchedule45[[#Headers],[BEGINNING BALANCE]])-1)),"")</f>
        <v>68796.252289368364</v>
      </c>
      <c r="E306" s="32">
        <f>IF(PaymentSchedule45[[#This Row],[PMT NO]]&lt;&gt;"",ScheduledPayment,"")</f>
        <v>1294.2429434851008</v>
      </c>
      <c r="F30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0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06" s="32">
        <f>IF(PaymentSchedule45[[#This Row],[PMT NO]]&lt;&gt;"",PaymentSchedule45[[#This Row],[TOTAL PAYMENT]]-PaymentSchedule45[[#This Row],[INTEREST]],"")</f>
        <v>732.40688312192572</v>
      </c>
      <c r="I306" s="32">
        <f>IF(PaymentSchedule45[[#This Row],[PMT NO]]&lt;&gt;"",PaymentSchedule45[[#This Row],[BEGINNING BALANCE]]*(InterestRate/PaymentsPerYear),"")</f>
        <v>561.83606036317508</v>
      </c>
      <c r="J30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68063.845406246444</v>
      </c>
      <c r="K306" s="32">
        <f>IF(PaymentSchedule45[[#This Row],[PMT NO]]&lt;&gt;"",SUM(INDEX(PaymentSchedule45[INTEREST],1,1):PaymentSchedule45[[#This Row],[INTEREST]]),"")</f>
        <v>294688.5419604106</v>
      </c>
    </row>
    <row r="307" spans="2:11" x14ac:dyDescent="0.3">
      <c r="B307" s="30">
        <f>IF(LoanIsGood,IF(ROW()-ROW(PaymentSchedule45[[#Headers],[PMT NO]])&gt;ScheduledNumberOfPayments,"",ROW()-ROW(PaymentSchedule45[[#Headers],[PMT NO]])),"")</f>
        <v>292</v>
      </c>
      <c r="C307" s="31">
        <f>IF(PaymentSchedule45[[#This Row],[PMT NO]]&lt;&gt;"",EOMONTH(LoanStartDate,ROW(PaymentSchedule45[[#This Row],[PMT NO]])-ROW(PaymentSchedule45[[#Headers],[PMT NO]])-2)+DAY(LoanStartDate),"")</f>
        <v>52232</v>
      </c>
      <c r="D307" s="32">
        <f>IF(PaymentSchedule45[[#This Row],[PMT NO]]&lt;&gt;"",IF(ROW()-ROW(PaymentSchedule45[[#Headers],[BEGINNING BALANCE]])=1,LoanAmount,INDEX(PaymentSchedule45[ENDING BALANCE],ROW()-ROW(PaymentSchedule45[[#Headers],[BEGINNING BALANCE]])-1)),"")</f>
        <v>68063.845406246444</v>
      </c>
      <c r="E307" s="32">
        <f>IF(PaymentSchedule45[[#This Row],[PMT NO]]&lt;&gt;"",ScheduledPayment,"")</f>
        <v>1294.2429434851008</v>
      </c>
      <c r="F30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0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07" s="32">
        <f>IF(PaymentSchedule45[[#This Row],[PMT NO]]&lt;&gt;"",PaymentSchedule45[[#This Row],[TOTAL PAYMENT]]-PaymentSchedule45[[#This Row],[INTEREST]],"")</f>
        <v>738.38820600075474</v>
      </c>
      <c r="I307" s="32">
        <f>IF(PaymentSchedule45[[#This Row],[PMT NO]]&lt;&gt;"",PaymentSchedule45[[#This Row],[BEGINNING BALANCE]]*(InterestRate/PaymentsPerYear),"")</f>
        <v>555.85473748434606</v>
      </c>
      <c r="J30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67325.457200245684</v>
      </c>
      <c r="K307" s="32">
        <f>IF(PaymentSchedule45[[#This Row],[PMT NO]]&lt;&gt;"",SUM(INDEX(PaymentSchedule45[INTEREST],1,1):PaymentSchedule45[[#This Row],[INTEREST]]),"")</f>
        <v>295244.39669789496</v>
      </c>
    </row>
    <row r="308" spans="2:11" x14ac:dyDescent="0.3">
      <c r="B308" s="30">
        <f>IF(LoanIsGood,IF(ROW()-ROW(PaymentSchedule45[[#Headers],[PMT NO]])&gt;ScheduledNumberOfPayments,"",ROW()-ROW(PaymentSchedule45[[#Headers],[PMT NO]])),"")</f>
        <v>293</v>
      </c>
      <c r="C308" s="31">
        <f>IF(PaymentSchedule45[[#This Row],[PMT NO]]&lt;&gt;"",EOMONTH(LoanStartDate,ROW(PaymentSchedule45[[#This Row],[PMT NO]])-ROW(PaymentSchedule45[[#Headers],[PMT NO]])-2)+DAY(LoanStartDate),"")</f>
        <v>52263</v>
      </c>
      <c r="D308" s="32">
        <f>IF(PaymentSchedule45[[#This Row],[PMT NO]]&lt;&gt;"",IF(ROW()-ROW(PaymentSchedule45[[#Headers],[BEGINNING BALANCE]])=1,LoanAmount,INDEX(PaymentSchedule45[ENDING BALANCE],ROW()-ROW(PaymentSchedule45[[#Headers],[BEGINNING BALANCE]])-1)),"")</f>
        <v>67325.457200245684</v>
      </c>
      <c r="E308" s="32">
        <f>IF(PaymentSchedule45[[#This Row],[PMT NO]]&lt;&gt;"",ScheduledPayment,"")</f>
        <v>1294.2429434851008</v>
      </c>
      <c r="F30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0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08" s="32">
        <f>IF(PaymentSchedule45[[#This Row],[PMT NO]]&lt;&gt;"",PaymentSchedule45[[#This Row],[TOTAL PAYMENT]]-PaymentSchedule45[[#This Row],[INTEREST]],"")</f>
        <v>744.41837634976093</v>
      </c>
      <c r="I308" s="32">
        <f>IF(PaymentSchedule45[[#This Row],[PMT NO]]&lt;&gt;"",PaymentSchedule45[[#This Row],[BEGINNING BALANCE]]*(InterestRate/PaymentsPerYear),"")</f>
        <v>549.82456713533986</v>
      </c>
      <c r="J30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66581.038823895928</v>
      </c>
      <c r="K308" s="32">
        <f>IF(PaymentSchedule45[[#This Row],[PMT NO]]&lt;&gt;"",SUM(INDEX(PaymentSchedule45[INTEREST],1,1):PaymentSchedule45[[#This Row],[INTEREST]]),"")</f>
        <v>295794.22126503033</v>
      </c>
    </row>
    <row r="309" spans="2:11" x14ac:dyDescent="0.3">
      <c r="B309" s="30">
        <f>IF(LoanIsGood,IF(ROW()-ROW(PaymentSchedule45[[#Headers],[PMT NO]])&gt;ScheduledNumberOfPayments,"",ROW()-ROW(PaymentSchedule45[[#Headers],[PMT NO]])),"")</f>
        <v>294</v>
      </c>
      <c r="C309" s="31">
        <f>IF(PaymentSchedule45[[#This Row],[PMT NO]]&lt;&gt;"",EOMONTH(LoanStartDate,ROW(PaymentSchedule45[[#This Row],[PMT NO]])-ROW(PaymentSchedule45[[#Headers],[PMT NO]])-2)+DAY(LoanStartDate),"")</f>
        <v>52291</v>
      </c>
      <c r="D309" s="32">
        <f>IF(PaymentSchedule45[[#This Row],[PMT NO]]&lt;&gt;"",IF(ROW()-ROW(PaymentSchedule45[[#Headers],[BEGINNING BALANCE]])=1,LoanAmount,INDEX(PaymentSchedule45[ENDING BALANCE],ROW()-ROW(PaymentSchedule45[[#Headers],[BEGINNING BALANCE]])-1)),"")</f>
        <v>66581.038823895928</v>
      </c>
      <c r="E309" s="32">
        <f>IF(PaymentSchedule45[[#This Row],[PMT NO]]&lt;&gt;"",ScheduledPayment,"")</f>
        <v>1294.2429434851008</v>
      </c>
      <c r="F30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0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09" s="32">
        <f>IF(PaymentSchedule45[[#This Row],[PMT NO]]&lt;&gt;"",PaymentSchedule45[[#This Row],[TOTAL PAYMENT]]-PaymentSchedule45[[#This Row],[INTEREST]],"")</f>
        <v>750.49779308995062</v>
      </c>
      <c r="I309" s="32">
        <f>IF(PaymentSchedule45[[#This Row],[PMT NO]]&lt;&gt;"",PaymentSchedule45[[#This Row],[BEGINNING BALANCE]]*(InterestRate/PaymentsPerYear),"")</f>
        <v>543.74515039515018</v>
      </c>
      <c r="J30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65830.54103080598</v>
      </c>
      <c r="K309" s="32">
        <f>IF(PaymentSchedule45[[#This Row],[PMT NO]]&lt;&gt;"",SUM(INDEX(PaymentSchedule45[INTEREST],1,1):PaymentSchedule45[[#This Row],[INTEREST]]),"")</f>
        <v>296337.96641542547</v>
      </c>
    </row>
    <row r="310" spans="2:11" x14ac:dyDescent="0.3">
      <c r="B310" s="30">
        <f>IF(LoanIsGood,IF(ROW()-ROW(PaymentSchedule45[[#Headers],[PMT NO]])&gt;ScheduledNumberOfPayments,"",ROW()-ROW(PaymentSchedule45[[#Headers],[PMT NO]])),"")</f>
        <v>295</v>
      </c>
      <c r="C310" s="31">
        <f>IF(PaymentSchedule45[[#This Row],[PMT NO]]&lt;&gt;"",EOMONTH(LoanStartDate,ROW(PaymentSchedule45[[#This Row],[PMT NO]])-ROW(PaymentSchedule45[[#Headers],[PMT NO]])-2)+DAY(LoanStartDate),"")</f>
        <v>52322</v>
      </c>
      <c r="D310" s="32">
        <f>IF(PaymentSchedule45[[#This Row],[PMT NO]]&lt;&gt;"",IF(ROW()-ROW(PaymentSchedule45[[#Headers],[BEGINNING BALANCE]])=1,LoanAmount,INDEX(PaymentSchedule45[ENDING BALANCE],ROW()-ROW(PaymentSchedule45[[#Headers],[BEGINNING BALANCE]])-1)),"")</f>
        <v>65830.54103080598</v>
      </c>
      <c r="E310" s="32">
        <f>IF(PaymentSchedule45[[#This Row],[PMT NO]]&lt;&gt;"",ScheduledPayment,"")</f>
        <v>1294.2429434851008</v>
      </c>
      <c r="F31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1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10" s="32">
        <f>IF(PaymentSchedule45[[#This Row],[PMT NO]]&lt;&gt;"",PaymentSchedule45[[#This Row],[TOTAL PAYMENT]]-PaymentSchedule45[[#This Row],[INTEREST]],"")</f>
        <v>756.62685840018526</v>
      </c>
      <c r="I310" s="32">
        <f>IF(PaymentSchedule45[[#This Row],[PMT NO]]&lt;&gt;"",PaymentSchedule45[[#This Row],[BEGINNING BALANCE]]*(InterestRate/PaymentsPerYear),"")</f>
        <v>537.61608508491554</v>
      </c>
      <c r="J31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65073.914172405792</v>
      </c>
      <c r="K310" s="32">
        <f>IF(PaymentSchedule45[[#This Row],[PMT NO]]&lt;&gt;"",SUM(INDEX(PaymentSchedule45[INTEREST],1,1):PaymentSchedule45[[#This Row],[INTEREST]]),"")</f>
        <v>296875.58250051038</v>
      </c>
    </row>
    <row r="311" spans="2:11" x14ac:dyDescent="0.3">
      <c r="B311" s="30">
        <f>IF(LoanIsGood,IF(ROW()-ROW(PaymentSchedule45[[#Headers],[PMT NO]])&gt;ScheduledNumberOfPayments,"",ROW()-ROW(PaymentSchedule45[[#Headers],[PMT NO]])),"")</f>
        <v>296</v>
      </c>
      <c r="C311" s="31">
        <f>IF(PaymentSchedule45[[#This Row],[PMT NO]]&lt;&gt;"",EOMONTH(LoanStartDate,ROW(PaymentSchedule45[[#This Row],[PMT NO]])-ROW(PaymentSchedule45[[#Headers],[PMT NO]])-2)+DAY(LoanStartDate),"")</f>
        <v>52352</v>
      </c>
      <c r="D311" s="32">
        <f>IF(PaymentSchedule45[[#This Row],[PMT NO]]&lt;&gt;"",IF(ROW()-ROW(PaymentSchedule45[[#Headers],[BEGINNING BALANCE]])=1,LoanAmount,INDEX(PaymentSchedule45[ENDING BALANCE],ROW()-ROW(PaymentSchedule45[[#Headers],[BEGINNING BALANCE]])-1)),"")</f>
        <v>65073.914172405792</v>
      </c>
      <c r="E311" s="32">
        <f>IF(PaymentSchedule45[[#This Row],[PMT NO]]&lt;&gt;"",ScheduledPayment,"")</f>
        <v>1294.2429434851008</v>
      </c>
      <c r="F31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1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11" s="32">
        <f>IF(PaymentSchedule45[[#This Row],[PMT NO]]&lt;&gt;"",PaymentSchedule45[[#This Row],[TOTAL PAYMENT]]-PaymentSchedule45[[#This Row],[INTEREST]],"")</f>
        <v>762.8059777437868</v>
      </c>
      <c r="I311" s="32">
        <f>IF(PaymentSchedule45[[#This Row],[PMT NO]]&lt;&gt;"",PaymentSchedule45[[#This Row],[BEGINNING BALANCE]]*(InterestRate/PaymentsPerYear),"")</f>
        <v>531.436965741314</v>
      </c>
      <c r="J31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64311.108194662003</v>
      </c>
      <c r="K311" s="32">
        <f>IF(PaymentSchedule45[[#This Row],[PMT NO]]&lt;&gt;"",SUM(INDEX(PaymentSchedule45[INTEREST],1,1):PaymentSchedule45[[#This Row],[INTEREST]]),"")</f>
        <v>297407.01946625172</v>
      </c>
    </row>
    <row r="312" spans="2:11" x14ac:dyDescent="0.3">
      <c r="B312" s="30">
        <f>IF(LoanIsGood,IF(ROW()-ROW(PaymentSchedule45[[#Headers],[PMT NO]])&gt;ScheduledNumberOfPayments,"",ROW()-ROW(PaymentSchedule45[[#Headers],[PMT NO]])),"")</f>
        <v>297</v>
      </c>
      <c r="C312" s="31">
        <f>IF(PaymentSchedule45[[#This Row],[PMT NO]]&lt;&gt;"",EOMONTH(LoanStartDate,ROW(PaymentSchedule45[[#This Row],[PMT NO]])-ROW(PaymentSchedule45[[#Headers],[PMT NO]])-2)+DAY(LoanStartDate),"")</f>
        <v>52383</v>
      </c>
      <c r="D312" s="32">
        <f>IF(PaymentSchedule45[[#This Row],[PMT NO]]&lt;&gt;"",IF(ROW()-ROW(PaymentSchedule45[[#Headers],[BEGINNING BALANCE]])=1,LoanAmount,INDEX(PaymentSchedule45[ENDING BALANCE],ROW()-ROW(PaymentSchedule45[[#Headers],[BEGINNING BALANCE]])-1)),"")</f>
        <v>64311.108194662003</v>
      </c>
      <c r="E312" s="32">
        <f>IF(PaymentSchedule45[[#This Row],[PMT NO]]&lt;&gt;"",ScheduledPayment,"")</f>
        <v>1294.2429434851008</v>
      </c>
      <c r="F31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1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12" s="32">
        <f>IF(PaymentSchedule45[[#This Row],[PMT NO]]&lt;&gt;"",PaymentSchedule45[[#This Row],[TOTAL PAYMENT]]-PaymentSchedule45[[#This Row],[INTEREST]],"")</f>
        <v>769.03555989536108</v>
      </c>
      <c r="I312" s="32">
        <f>IF(PaymentSchedule45[[#This Row],[PMT NO]]&lt;&gt;"",PaymentSchedule45[[#This Row],[BEGINNING BALANCE]]*(InterestRate/PaymentsPerYear),"")</f>
        <v>525.20738358973972</v>
      </c>
      <c r="J31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63542.072634766642</v>
      </c>
      <c r="K312" s="32">
        <f>IF(PaymentSchedule45[[#This Row],[PMT NO]]&lt;&gt;"",SUM(INDEX(PaymentSchedule45[INTEREST],1,1):PaymentSchedule45[[#This Row],[INTEREST]]),"")</f>
        <v>297932.22684984148</v>
      </c>
    </row>
    <row r="313" spans="2:11" x14ac:dyDescent="0.3">
      <c r="B313" s="30">
        <f>IF(LoanIsGood,IF(ROW()-ROW(PaymentSchedule45[[#Headers],[PMT NO]])&gt;ScheduledNumberOfPayments,"",ROW()-ROW(PaymentSchedule45[[#Headers],[PMT NO]])),"")</f>
        <v>298</v>
      </c>
      <c r="C313" s="31">
        <f>IF(PaymentSchedule45[[#This Row],[PMT NO]]&lt;&gt;"",EOMONTH(LoanStartDate,ROW(PaymentSchedule45[[#This Row],[PMT NO]])-ROW(PaymentSchedule45[[#Headers],[PMT NO]])-2)+DAY(LoanStartDate),"")</f>
        <v>52413</v>
      </c>
      <c r="D313" s="32">
        <f>IF(PaymentSchedule45[[#This Row],[PMT NO]]&lt;&gt;"",IF(ROW()-ROW(PaymentSchedule45[[#Headers],[BEGINNING BALANCE]])=1,LoanAmount,INDEX(PaymentSchedule45[ENDING BALANCE],ROW()-ROW(PaymentSchedule45[[#Headers],[BEGINNING BALANCE]])-1)),"")</f>
        <v>63542.072634766642</v>
      </c>
      <c r="E313" s="32">
        <f>IF(PaymentSchedule45[[#This Row],[PMT NO]]&lt;&gt;"",ScheduledPayment,"")</f>
        <v>1294.2429434851008</v>
      </c>
      <c r="F31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1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13" s="32">
        <f>IF(PaymentSchedule45[[#This Row],[PMT NO]]&lt;&gt;"",PaymentSchedule45[[#This Row],[TOTAL PAYMENT]]-PaymentSchedule45[[#This Row],[INTEREST]],"")</f>
        <v>775.3160169678398</v>
      </c>
      <c r="I313" s="32">
        <f>IF(PaymentSchedule45[[#This Row],[PMT NO]]&lt;&gt;"",PaymentSchedule45[[#This Row],[BEGINNING BALANCE]]*(InterestRate/PaymentsPerYear),"")</f>
        <v>518.92692651726099</v>
      </c>
      <c r="J31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62766.756617798805</v>
      </c>
      <c r="K313" s="32">
        <f>IF(PaymentSchedule45[[#This Row],[PMT NO]]&lt;&gt;"",SUM(INDEX(PaymentSchedule45[INTEREST],1,1):PaymentSchedule45[[#This Row],[INTEREST]]),"")</f>
        <v>298451.15377635875</v>
      </c>
    </row>
    <row r="314" spans="2:11" x14ac:dyDescent="0.3">
      <c r="B314" s="30">
        <f>IF(LoanIsGood,IF(ROW()-ROW(PaymentSchedule45[[#Headers],[PMT NO]])&gt;ScheduledNumberOfPayments,"",ROW()-ROW(PaymentSchedule45[[#Headers],[PMT NO]])),"")</f>
        <v>299</v>
      </c>
      <c r="C314" s="31">
        <f>IF(PaymentSchedule45[[#This Row],[PMT NO]]&lt;&gt;"",EOMONTH(LoanStartDate,ROW(PaymentSchedule45[[#This Row],[PMT NO]])-ROW(PaymentSchedule45[[#Headers],[PMT NO]])-2)+DAY(LoanStartDate),"")</f>
        <v>52444</v>
      </c>
      <c r="D314" s="32">
        <f>IF(PaymentSchedule45[[#This Row],[PMT NO]]&lt;&gt;"",IF(ROW()-ROW(PaymentSchedule45[[#Headers],[BEGINNING BALANCE]])=1,LoanAmount,INDEX(PaymentSchedule45[ENDING BALANCE],ROW()-ROW(PaymentSchedule45[[#Headers],[BEGINNING BALANCE]])-1)),"")</f>
        <v>62766.756617798805</v>
      </c>
      <c r="E314" s="32">
        <f>IF(PaymentSchedule45[[#This Row],[PMT NO]]&lt;&gt;"",ScheduledPayment,"")</f>
        <v>1294.2429434851008</v>
      </c>
      <c r="F31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1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14" s="32">
        <f>IF(PaymentSchedule45[[#This Row],[PMT NO]]&lt;&gt;"",PaymentSchedule45[[#This Row],[TOTAL PAYMENT]]-PaymentSchedule45[[#This Row],[INTEREST]],"")</f>
        <v>781.64776443974381</v>
      </c>
      <c r="I314" s="32">
        <f>IF(PaymentSchedule45[[#This Row],[PMT NO]]&lt;&gt;"",PaymentSchedule45[[#This Row],[BEGINNING BALANCE]]*(InterestRate/PaymentsPerYear),"")</f>
        <v>512.59517904535699</v>
      </c>
      <c r="J31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61985.108853359059</v>
      </c>
      <c r="K314" s="32">
        <f>IF(PaymentSchedule45[[#This Row],[PMT NO]]&lt;&gt;"",SUM(INDEX(PaymentSchedule45[INTEREST],1,1):PaymentSchedule45[[#This Row],[INTEREST]]),"")</f>
        <v>298963.74895540409</v>
      </c>
    </row>
    <row r="315" spans="2:11" x14ac:dyDescent="0.3">
      <c r="B315" s="30">
        <f>IF(LoanIsGood,IF(ROW()-ROW(PaymentSchedule45[[#Headers],[PMT NO]])&gt;ScheduledNumberOfPayments,"",ROW()-ROW(PaymentSchedule45[[#Headers],[PMT NO]])),"")</f>
        <v>300</v>
      </c>
      <c r="C315" s="31">
        <f>IF(PaymentSchedule45[[#This Row],[PMT NO]]&lt;&gt;"",EOMONTH(LoanStartDate,ROW(PaymentSchedule45[[#This Row],[PMT NO]])-ROW(PaymentSchedule45[[#Headers],[PMT NO]])-2)+DAY(LoanStartDate),"")</f>
        <v>52475</v>
      </c>
      <c r="D315" s="32">
        <f>IF(PaymentSchedule45[[#This Row],[PMT NO]]&lt;&gt;"",IF(ROW()-ROW(PaymentSchedule45[[#Headers],[BEGINNING BALANCE]])=1,LoanAmount,INDEX(PaymentSchedule45[ENDING BALANCE],ROW()-ROW(PaymentSchedule45[[#Headers],[BEGINNING BALANCE]])-1)),"")</f>
        <v>61985.108853359059</v>
      </c>
      <c r="E315" s="32">
        <f>IF(PaymentSchedule45[[#This Row],[PMT NO]]&lt;&gt;"",ScheduledPayment,"")</f>
        <v>1294.2429434851008</v>
      </c>
      <c r="F31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1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15" s="32">
        <f>IF(PaymentSchedule45[[#This Row],[PMT NO]]&lt;&gt;"",PaymentSchedule45[[#This Row],[TOTAL PAYMENT]]-PaymentSchedule45[[#This Row],[INTEREST]],"")</f>
        <v>788.03122118266845</v>
      </c>
      <c r="I315" s="32">
        <f>IF(PaymentSchedule45[[#This Row],[PMT NO]]&lt;&gt;"",PaymentSchedule45[[#This Row],[BEGINNING BALANCE]]*(InterestRate/PaymentsPerYear),"")</f>
        <v>506.21172230243235</v>
      </c>
      <c r="J31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61197.077632176391</v>
      </c>
      <c r="K315" s="32">
        <f>IF(PaymentSchedule45[[#This Row],[PMT NO]]&lt;&gt;"",SUM(INDEX(PaymentSchedule45[INTEREST],1,1):PaymentSchedule45[[#This Row],[INTEREST]]),"")</f>
        <v>299469.96067770652</v>
      </c>
    </row>
    <row r="316" spans="2:11" x14ac:dyDescent="0.3">
      <c r="B316" s="30">
        <f>IF(LoanIsGood,IF(ROW()-ROW(PaymentSchedule45[[#Headers],[PMT NO]])&gt;ScheduledNumberOfPayments,"",ROW()-ROW(PaymentSchedule45[[#Headers],[PMT NO]])),"")</f>
        <v>301</v>
      </c>
      <c r="C316" s="31">
        <f>IF(PaymentSchedule45[[#This Row],[PMT NO]]&lt;&gt;"",EOMONTH(LoanStartDate,ROW(PaymentSchedule45[[#This Row],[PMT NO]])-ROW(PaymentSchedule45[[#Headers],[PMT NO]])-2)+DAY(LoanStartDate),"")</f>
        <v>52505</v>
      </c>
      <c r="D316" s="32">
        <f>IF(PaymentSchedule45[[#This Row],[PMT NO]]&lt;&gt;"",IF(ROW()-ROW(PaymentSchedule45[[#Headers],[BEGINNING BALANCE]])=1,LoanAmount,INDEX(PaymentSchedule45[ENDING BALANCE],ROW()-ROW(PaymentSchedule45[[#Headers],[BEGINNING BALANCE]])-1)),"")</f>
        <v>61197.077632176391</v>
      </c>
      <c r="E316" s="32">
        <f>IF(PaymentSchedule45[[#This Row],[PMT NO]]&lt;&gt;"",ScheduledPayment,"")</f>
        <v>1294.2429434851008</v>
      </c>
      <c r="F31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1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16" s="32">
        <f>IF(PaymentSchedule45[[#This Row],[PMT NO]]&lt;&gt;"",PaymentSchedule45[[#This Row],[TOTAL PAYMENT]]-PaymentSchedule45[[#This Row],[INTEREST]],"")</f>
        <v>794.46680948899348</v>
      </c>
      <c r="I316" s="32">
        <f>IF(PaymentSchedule45[[#This Row],[PMT NO]]&lt;&gt;"",PaymentSchedule45[[#This Row],[BEGINNING BALANCE]]*(InterestRate/PaymentsPerYear),"")</f>
        <v>499.77613399610726</v>
      </c>
      <c r="J31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60402.610822687398</v>
      </c>
      <c r="K316" s="32">
        <f>IF(PaymentSchedule45[[#This Row],[PMT NO]]&lt;&gt;"",SUM(INDEX(PaymentSchedule45[INTEREST],1,1):PaymentSchedule45[[#This Row],[INTEREST]]),"")</f>
        <v>299969.73681170261</v>
      </c>
    </row>
    <row r="317" spans="2:11" x14ac:dyDescent="0.3">
      <c r="B317" s="30">
        <f>IF(LoanIsGood,IF(ROW()-ROW(PaymentSchedule45[[#Headers],[PMT NO]])&gt;ScheduledNumberOfPayments,"",ROW()-ROW(PaymentSchedule45[[#Headers],[PMT NO]])),"")</f>
        <v>302</v>
      </c>
      <c r="C317" s="31">
        <f>IF(PaymentSchedule45[[#This Row],[PMT NO]]&lt;&gt;"",EOMONTH(LoanStartDate,ROW(PaymentSchedule45[[#This Row],[PMT NO]])-ROW(PaymentSchedule45[[#Headers],[PMT NO]])-2)+DAY(LoanStartDate),"")</f>
        <v>52536</v>
      </c>
      <c r="D317" s="32">
        <f>IF(PaymentSchedule45[[#This Row],[PMT NO]]&lt;&gt;"",IF(ROW()-ROW(PaymentSchedule45[[#Headers],[BEGINNING BALANCE]])=1,LoanAmount,INDEX(PaymentSchedule45[ENDING BALANCE],ROW()-ROW(PaymentSchedule45[[#Headers],[BEGINNING BALANCE]])-1)),"")</f>
        <v>60402.610822687398</v>
      </c>
      <c r="E317" s="32">
        <f>IF(PaymentSchedule45[[#This Row],[PMT NO]]&lt;&gt;"",ScheduledPayment,"")</f>
        <v>1294.2429434851008</v>
      </c>
      <c r="F31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1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17" s="32">
        <f>IF(PaymentSchedule45[[#This Row],[PMT NO]]&lt;&gt;"",PaymentSchedule45[[#This Row],[TOTAL PAYMENT]]-PaymentSchedule45[[#This Row],[INTEREST]],"")</f>
        <v>800.95495509982038</v>
      </c>
      <c r="I317" s="32">
        <f>IF(PaymentSchedule45[[#This Row],[PMT NO]]&lt;&gt;"",PaymentSchedule45[[#This Row],[BEGINNING BALANCE]]*(InterestRate/PaymentsPerYear),"")</f>
        <v>493.28798838528047</v>
      </c>
      <c r="J31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59601.655867587579</v>
      </c>
      <c r="K317" s="32">
        <f>IF(PaymentSchedule45[[#This Row],[PMT NO]]&lt;&gt;"",SUM(INDEX(PaymentSchedule45[INTEREST],1,1):PaymentSchedule45[[#This Row],[INTEREST]]),"")</f>
        <v>300463.02480008791</v>
      </c>
    </row>
    <row r="318" spans="2:11" x14ac:dyDescent="0.3">
      <c r="B318" s="30">
        <f>IF(LoanIsGood,IF(ROW()-ROW(PaymentSchedule45[[#Headers],[PMT NO]])&gt;ScheduledNumberOfPayments,"",ROW()-ROW(PaymentSchedule45[[#Headers],[PMT NO]])),"")</f>
        <v>303</v>
      </c>
      <c r="C318" s="31">
        <f>IF(PaymentSchedule45[[#This Row],[PMT NO]]&lt;&gt;"",EOMONTH(LoanStartDate,ROW(PaymentSchedule45[[#This Row],[PMT NO]])-ROW(PaymentSchedule45[[#Headers],[PMT NO]])-2)+DAY(LoanStartDate),"")</f>
        <v>52566</v>
      </c>
      <c r="D318" s="32">
        <f>IF(PaymentSchedule45[[#This Row],[PMT NO]]&lt;&gt;"",IF(ROW()-ROW(PaymentSchedule45[[#Headers],[BEGINNING BALANCE]])=1,LoanAmount,INDEX(PaymentSchedule45[ENDING BALANCE],ROW()-ROW(PaymentSchedule45[[#Headers],[BEGINNING BALANCE]])-1)),"")</f>
        <v>59601.655867587579</v>
      </c>
      <c r="E318" s="32">
        <f>IF(PaymentSchedule45[[#This Row],[PMT NO]]&lt;&gt;"",ScheduledPayment,"")</f>
        <v>1294.2429434851008</v>
      </c>
      <c r="F31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1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18" s="32">
        <f>IF(PaymentSchedule45[[#This Row],[PMT NO]]&lt;&gt;"",PaymentSchedule45[[#This Row],[TOTAL PAYMENT]]-PaymentSchedule45[[#This Row],[INTEREST]],"")</f>
        <v>807.49608723313554</v>
      </c>
      <c r="I318" s="32">
        <f>IF(PaymentSchedule45[[#This Row],[PMT NO]]&lt;&gt;"",PaymentSchedule45[[#This Row],[BEGINNING BALANCE]]*(InterestRate/PaymentsPerYear),"")</f>
        <v>486.74685625196526</v>
      </c>
      <c r="J31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58794.159780354443</v>
      </c>
      <c r="K318" s="32">
        <f>IF(PaymentSchedule45[[#This Row],[PMT NO]]&lt;&gt;"",SUM(INDEX(PaymentSchedule45[INTEREST],1,1):PaymentSchedule45[[#This Row],[INTEREST]]),"")</f>
        <v>300949.77165633987</v>
      </c>
    </row>
    <row r="319" spans="2:11" x14ac:dyDescent="0.3">
      <c r="B319" s="30">
        <f>IF(LoanIsGood,IF(ROW()-ROW(PaymentSchedule45[[#Headers],[PMT NO]])&gt;ScheduledNumberOfPayments,"",ROW()-ROW(PaymentSchedule45[[#Headers],[PMT NO]])),"")</f>
        <v>304</v>
      </c>
      <c r="C319" s="31">
        <f>IF(PaymentSchedule45[[#This Row],[PMT NO]]&lt;&gt;"",EOMONTH(LoanStartDate,ROW(PaymentSchedule45[[#This Row],[PMT NO]])-ROW(PaymentSchedule45[[#Headers],[PMT NO]])-2)+DAY(LoanStartDate),"")</f>
        <v>52597</v>
      </c>
      <c r="D319" s="32">
        <f>IF(PaymentSchedule45[[#This Row],[PMT NO]]&lt;&gt;"",IF(ROW()-ROW(PaymentSchedule45[[#Headers],[BEGINNING BALANCE]])=1,LoanAmount,INDEX(PaymentSchedule45[ENDING BALANCE],ROW()-ROW(PaymentSchedule45[[#Headers],[BEGINNING BALANCE]])-1)),"")</f>
        <v>58794.159780354443</v>
      </c>
      <c r="E319" s="32">
        <f>IF(PaymentSchedule45[[#This Row],[PMT NO]]&lt;&gt;"",ScheduledPayment,"")</f>
        <v>1294.2429434851008</v>
      </c>
      <c r="F31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1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19" s="32">
        <f>IF(PaymentSchedule45[[#This Row],[PMT NO]]&lt;&gt;"",PaymentSchedule45[[#This Row],[TOTAL PAYMENT]]-PaymentSchedule45[[#This Row],[INTEREST]],"")</f>
        <v>814.09063861220613</v>
      </c>
      <c r="I319" s="32">
        <f>IF(PaymentSchedule45[[#This Row],[PMT NO]]&lt;&gt;"",PaymentSchedule45[[#This Row],[BEGINNING BALANCE]]*(InterestRate/PaymentsPerYear),"")</f>
        <v>480.15230487289466</v>
      </c>
      <c r="J31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57980.069141742235</v>
      </c>
      <c r="K319" s="32">
        <f>IF(PaymentSchedule45[[#This Row],[PMT NO]]&lt;&gt;"",SUM(INDEX(PaymentSchedule45[INTEREST],1,1):PaymentSchedule45[[#This Row],[INTEREST]]),"")</f>
        <v>301429.92396121274</v>
      </c>
    </row>
    <row r="320" spans="2:11" x14ac:dyDescent="0.3">
      <c r="B320" s="30">
        <f>IF(LoanIsGood,IF(ROW()-ROW(PaymentSchedule45[[#Headers],[PMT NO]])&gt;ScheduledNumberOfPayments,"",ROW()-ROW(PaymentSchedule45[[#Headers],[PMT NO]])),"")</f>
        <v>305</v>
      </c>
      <c r="C320" s="31">
        <f>IF(PaymentSchedule45[[#This Row],[PMT NO]]&lt;&gt;"",EOMONTH(LoanStartDate,ROW(PaymentSchedule45[[#This Row],[PMT NO]])-ROW(PaymentSchedule45[[#Headers],[PMT NO]])-2)+DAY(LoanStartDate),"")</f>
        <v>52628</v>
      </c>
      <c r="D320" s="32">
        <f>IF(PaymentSchedule45[[#This Row],[PMT NO]]&lt;&gt;"",IF(ROW()-ROW(PaymentSchedule45[[#Headers],[BEGINNING BALANCE]])=1,LoanAmount,INDEX(PaymentSchedule45[ENDING BALANCE],ROW()-ROW(PaymentSchedule45[[#Headers],[BEGINNING BALANCE]])-1)),"")</f>
        <v>57980.069141742235</v>
      </c>
      <c r="E320" s="32">
        <f>IF(PaymentSchedule45[[#This Row],[PMT NO]]&lt;&gt;"",ScheduledPayment,"")</f>
        <v>1294.2429434851008</v>
      </c>
      <c r="F32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2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20" s="32">
        <f>IF(PaymentSchedule45[[#This Row],[PMT NO]]&lt;&gt;"",PaymentSchedule45[[#This Row],[TOTAL PAYMENT]]-PaymentSchedule45[[#This Row],[INTEREST]],"")</f>
        <v>820.73904549420581</v>
      </c>
      <c r="I320" s="32">
        <f>IF(PaymentSchedule45[[#This Row],[PMT NO]]&lt;&gt;"",PaymentSchedule45[[#This Row],[BEGINNING BALANCE]]*(InterestRate/PaymentsPerYear),"")</f>
        <v>473.50389799089498</v>
      </c>
      <c r="J32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57159.330096248028</v>
      </c>
      <c r="K320" s="32">
        <f>IF(PaymentSchedule45[[#This Row],[PMT NO]]&lt;&gt;"",SUM(INDEX(PaymentSchedule45[INTEREST],1,1):PaymentSchedule45[[#This Row],[INTEREST]]),"")</f>
        <v>301903.42785920366</v>
      </c>
    </row>
    <row r="321" spans="2:11" x14ac:dyDescent="0.3">
      <c r="B321" s="30">
        <f>IF(LoanIsGood,IF(ROW()-ROW(PaymentSchedule45[[#Headers],[PMT NO]])&gt;ScheduledNumberOfPayments,"",ROW()-ROW(PaymentSchedule45[[#Headers],[PMT NO]])),"")</f>
        <v>306</v>
      </c>
      <c r="C321" s="31">
        <f>IF(PaymentSchedule45[[#This Row],[PMT NO]]&lt;&gt;"",EOMONTH(LoanStartDate,ROW(PaymentSchedule45[[#This Row],[PMT NO]])-ROW(PaymentSchedule45[[#Headers],[PMT NO]])-2)+DAY(LoanStartDate),"")</f>
        <v>52657</v>
      </c>
      <c r="D321" s="32">
        <f>IF(PaymentSchedule45[[#This Row],[PMT NO]]&lt;&gt;"",IF(ROW()-ROW(PaymentSchedule45[[#Headers],[BEGINNING BALANCE]])=1,LoanAmount,INDEX(PaymentSchedule45[ENDING BALANCE],ROW()-ROW(PaymentSchedule45[[#Headers],[BEGINNING BALANCE]])-1)),"")</f>
        <v>57159.330096248028</v>
      </c>
      <c r="E321" s="32">
        <f>IF(PaymentSchedule45[[#This Row],[PMT NO]]&lt;&gt;"",ScheduledPayment,"")</f>
        <v>1294.2429434851008</v>
      </c>
      <c r="F32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2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21" s="32">
        <f>IF(PaymentSchedule45[[#This Row],[PMT NO]]&lt;&gt;"",PaymentSchedule45[[#This Row],[TOTAL PAYMENT]]-PaymentSchedule45[[#This Row],[INTEREST]],"")</f>
        <v>827.44174769907522</v>
      </c>
      <c r="I321" s="32">
        <f>IF(PaymentSchedule45[[#This Row],[PMT NO]]&lt;&gt;"",PaymentSchedule45[[#This Row],[BEGINNING BALANCE]]*(InterestRate/PaymentsPerYear),"")</f>
        <v>466.80119578602563</v>
      </c>
      <c r="J32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56331.88834854895</v>
      </c>
      <c r="K321" s="32">
        <f>IF(PaymentSchedule45[[#This Row],[PMT NO]]&lt;&gt;"",SUM(INDEX(PaymentSchedule45[INTEREST],1,1):PaymentSchedule45[[#This Row],[INTEREST]]),"")</f>
        <v>302370.2290549897</v>
      </c>
    </row>
    <row r="322" spans="2:11" x14ac:dyDescent="0.3">
      <c r="B322" s="30">
        <f>IF(LoanIsGood,IF(ROW()-ROW(PaymentSchedule45[[#Headers],[PMT NO]])&gt;ScheduledNumberOfPayments,"",ROW()-ROW(PaymentSchedule45[[#Headers],[PMT NO]])),"")</f>
        <v>307</v>
      </c>
      <c r="C322" s="31">
        <f>IF(PaymentSchedule45[[#This Row],[PMT NO]]&lt;&gt;"",EOMONTH(LoanStartDate,ROW(PaymentSchedule45[[#This Row],[PMT NO]])-ROW(PaymentSchedule45[[#Headers],[PMT NO]])-2)+DAY(LoanStartDate),"")</f>
        <v>52688</v>
      </c>
      <c r="D322" s="32">
        <f>IF(PaymentSchedule45[[#This Row],[PMT NO]]&lt;&gt;"",IF(ROW()-ROW(PaymentSchedule45[[#Headers],[BEGINNING BALANCE]])=1,LoanAmount,INDEX(PaymentSchedule45[ENDING BALANCE],ROW()-ROW(PaymentSchedule45[[#Headers],[BEGINNING BALANCE]])-1)),"")</f>
        <v>56331.88834854895</v>
      </c>
      <c r="E322" s="32">
        <f>IF(PaymentSchedule45[[#This Row],[PMT NO]]&lt;&gt;"",ScheduledPayment,"")</f>
        <v>1294.2429434851008</v>
      </c>
      <c r="F32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2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22" s="32">
        <f>IF(PaymentSchedule45[[#This Row],[PMT NO]]&lt;&gt;"",PaymentSchedule45[[#This Row],[TOTAL PAYMENT]]-PaymentSchedule45[[#This Row],[INTEREST]],"")</f>
        <v>834.19918863861767</v>
      </c>
      <c r="I322" s="32">
        <f>IF(PaymentSchedule45[[#This Row],[PMT NO]]&lt;&gt;"",PaymentSchedule45[[#This Row],[BEGINNING BALANCE]]*(InterestRate/PaymentsPerYear),"")</f>
        <v>460.04375484648313</v>
      </c>
      <c r="J32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55497.689159910333</v>
      </c>
      <c r="K322" s="32">
        <f>IF(PaymentSchedule45[[#This Row],[PMT NO]]&lt;&gt;"",SUM(INDEX(PaymentSchedule45[INTEREST],1,1):PaymentSchedule45[[#This Row],[INTEREST]]),"")</f>
        <v>302830.2728098362</v>
      </c>
    </row>
    <row r="323" spans="2:11" x14ac:dyDescent="0.3">
      <c r="B323" s="30">
        <f>IF(LoanIsGood,IF(ROW()-ROW(PaymentSchedule45[[#Headers],[PMT NO]])&gt;ScheduledNumberOfPayments,"",ROW()-ROW(PaymentSchedule45[[#Headers],[PMT NO]])),"")</f>
        <v>308</v>
      </c>
      <c r="C323" s="31">
        <f>IF(PaymentSchedule45[[#This Row],[PMT NO]]&lt;&gt;"",EOMONTH(LoanStartDate,ROW(PaymentSchedule45[[#This Row],[PMT NO]])-ROW(PaymentSchedule45[[#Headers],[PMT NO]])-2)+DAY(LoanStartDate),"")</f>
        <v>52718</v>
      </c>
      <c r="D323" s="32">
        <f>IF(PaymentSchedule45[[#This Row],[PMT NO]]&lt;&gt;"",IF(ROW()-ROW(PaymentSchedule45[[#Headers],[BEGINNING BALANCE]])=1,LoanAmount,INDEX(PaymentSchedule45[ENDING BALANCE],ROW()-ROW(PaymentSchedule45[[#Headers],[BEGINNING BALANCE]])-1)),"")</f>
        <v>55497.689159910333</v>
      </c>
      <c r="E323" s="32">
        <f>IF(PaymentSchedule45[[#This Row],[PMT NO]]&lt;&gt;"",ScheduledPayment,"")</f>
        <v>1294.2429434851008</v>
      </c>
      <c r="F32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2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23" s="32">
        <f>IF(PaymentSchedule45[[#This Row],[PMT NO]]&lt;&gt;"",PaymentSchedule45[[#This Row],[TOTAL PAYMENT]]-PaymentSchedule45[[#This Row],[INTEREST]],"")</f>
        <v>841.01181534583304</v>
      </c>
      <c r="I323" s="32">
        <f>IF(PaymentSchedule45[[#This Row],[PMT NO]]&lt;&gt;"",PaymentSchedule45[[#This Row],[BEGINNING BALANCE]]*(InterestRate/PaymentsPerYear),"")</f>
        <v>453.23112813926775</v>
      </c>
      <c r="J32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54656.677344564501</v>
      </c>
      <c r="K323" s="32">
        <f>IF(PaymentSchedule45[[#This Row],[PMT NO]]&lt;&gt;"",SUM(INDEX(PaymentSchedule45[INTEREST],1,1):PaymentSchedule45[[#This Row],[INTEREST]]),"")</f>
        <v>303283.50393797545</v>
      </c>
    </row>
    <row r="324" spans="2:11" x14ac:dyDescent="0.3">
      <c r="B324" s="30">
        <f>IF(LoanIsGood,IF(ROW()-ROW(PaymentSchedule45[[#Headers],[PMT NO]])&gt;ScheduledNumberOfPayments,"",ROW()-ROW(PaymentSchedule45[[#Headers],[PMT NO]])),"")</f>
        <v>309</v>
      </c>
      <c r="C324" s="31">
        <f>IF(PaymentSchedule45[[#This Row],[PMT NO]]&lt;&gt;"",EOMONTH(LoanStartDate,ROW(PaymentSchedule45[[#This Row],[PMT NO]])-ROW(PaymentSchedule45[[#Headers],[PMT NO]])-2)+DAY(LoanStartDate),"")</f>
        <v>52749</v>
      </c>
      <c r="D324" s="32">
        <f>IF(PaymentSchedule45[[#This Row],[PMT NO]]&lt;&gt;"",IF(ROW()-ROW(PaymentSchedule45[[#Headers],[BEGINNING BALANCE]])=1,LoanAmount,INDEX(PaymentSchedule45[ENDING BALANCE],ROW()-ROW(PaymentSchedule45[[#Headers],[BEGINNING BALANCE]])-1)),"")</f>
        <v>54656.677344564501</v>
      </c>
      <c r="E324" s="32">
        <f>IF(PaymentSchedule45[[#This Row],[PMT NO]]&lt;&gt;"",ScheduledPayment,"")</f>
        <v>1294.2429434851008</v>
      </c>
      <c r="F32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2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24" s="32">
        <f>IF(PaymentSchedule45[[#This Row],[PMT NO]]&lt;&gt;"",PaymentSchedule45[[#This Row],[TOTAL PAYMENT]]-PaymentSchedule45[[#This Row],[INTEREST]],"")</f>
        <v>847.88007850449071</v>
      </c>
      <c r="I324" s="32">
        <f>IF(PaymentSchedule45[[#This Row],[PMT NO]]&lt;&gt;"",PaymentSchedule45[[#This Row],[BEGINNING BALANCE]]*(InterestRate/PaymentsPerYear),"")</f>
        <v>446.36286498061014</v>
      </c>
      <c r="J32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53808.797266060013</v>
      </c>
      <c r="K324" s="32">
        <f>IF(PaymentSchedule45[[#This Row],[PMT NO]]&lt;&gt;"",SUM(INDEX(PaymentSchedule45[INTEREST],1,1):PaymentSchedule45[[#This Row],[INTEREST]]),"")</f>
        <v>303729.86680295604</v>
      </c>
    </row>
    <row r="325" spans="2:11" x14ac:dyDescent="0.3">
      <c r="B325" s="30">
        <f>IF(LoanIsGood,IF(ROW()-ROW(PaymentSchedule45[[#Headers],[PMT NO]])&gt;ScheduledNumberOfPayments,"",ROW()-ROW(PaymentSchedule45[[#Headers],[PMT NO]])),"")</f>
        <v>310</v>
      </c>
      <c r="C325" s="31">
        <f>IF(PaymentSchedule45[[#This Row],[PMT NO]]&lt;&gt;"",EOMONTH(LoanStartDate,ROW(PaymentSchedule45[[#This Row],[PMT NO]])-ROW(PaymentSchedule45[[#Headers],[PMT NO]])-2)+DAY(LoanStartDate),"")</f>
        <v>52779</v>
      </c>
      <c r="D325" s="32">
        <f>IF(PaymentSchedule45[[#This Row],[PMT NO]]&lt;&gt;"",IF(ROW()-ROW(PaymentSchedule45[[#Headers],[BEGINNING BALANCE]])=1,LoanAmount,INDEX(PaymentSchedule45[ENDING BALANCE],ROW()-ROW(PaymentSchedule45[[#Headers],[BEGINNING BALANCE]])-1)),"")</f>
        <v>53808.797266060013</v>
      </c>
      <c r="E325" s="32">
        <f>IF(PaymentSchedule45[[#This Row],[PMT NO]]&lt;&gt;"",ScheduledPayment,"")</f>
        <v>1294.2429434851008</v>
      </c>
      <c r="F32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2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25" s="32">
        <f>IF(PaymentSchedule45[[#This Row],[PMT NO]]&lt;&gt;"",PaymentSchedule45[[#This Row],[TOTAL PAYMENT]]-PaymentSchedule45[[#This Row],[INTEREST]],"")</f>
        <v>854.80443247894391</v>
      </c>
      <c r="I325" s="32">
        <f>IF(PaymentSchedule45[[#This Row],[PMT NO]]&lt;&gt;"",PaymentSchedule45[[#This Row],[BEGINNING BALANCE]]*(InterestRate/PaymentsPerYear),"")</f>
        <v>439.43851100615683</v>
      </c>
      <c r="J32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52953.992833581069</v>
      </c>
      <c r="K325" s="32">
        <f>IF(PaymentSchedule45[[#This Row],[PMT NO]]&lt;&gt;"",SUM(INDEX(PaymentSchedule45[INTEREST],1,1):PaymentSchedule45[[#This Row],[INTEREST]]),"")</f>
        <v>304169.30531396222</v>
      </c>
    </row>
    <row r="326" spans="2:11" x14ac:dyDescent="0.3">
      <c r="B326" s="30">
        <f>IF(LoanIsGood,IF(ROW()-ROW(PaymentSchedule45[[#Headers],[PMT NO]])&gt;ScheduledNumberOfPayments,"",ROW()-ROW(PaymentSchedule45[[#Headers],[PMT NO]])),"")</f>
        <v>311</v>
      </c>
      <c r="C326" s="31">
        <f>IF(PaymentSchedule45[[#This Row],[PMT NO]]&lt;&gt;"",EOMONTH(LoanStartDate,ROW(PaymentSchedule45[[#This Row],[PMT NO]])-ROW(PaymentSchedule45[[#Headers],[PMT NO]])-2)+DAY(LoanStartDate),"")</f>
        <v>52810</v>
      </c>
      <c r="D326" s="32">
        <f>IF(PaymentSchedule45[[#This Row],[PMT NO]]&lt;&gt;"",IF(ROW()-ROW(PaymentSchedule45[[#Headers],[BEGINNING BALANCE]])=1,LoanAmount,INDEX(PaymentSchedule45[ENDING BALANCE],ROW()-ROW(PaymentSchedule45[[#Headers],[BEGINNING BALANCE]])-1)),"")</f>
        <v>52953.992833581069</v>
      </c>
      <c r="E326" s="32">
        <f>IF(PaymentSchedule45[[#This Row],[PMT NO]]&lt;&gt;"",ScheduledPayment,"")</f>
        <v>1294.2429434851008</v>
      </c>
      <c r="F32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2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26" s="32">
        <f>IF(PaymentSchedule45[[#This Row],[PMT NO]]&lt;&gt;"",PaymentSchedule45[[#This Row],[TOTAL PAYMENT]]-PaymentSchedule45[[#This Row],[INTEREST]],"")</f>
        <v>861.78533534418875</v>
      </c>
      <c r="I326" s="32">
        <f>IF(PaymentSchedule45[[#This Row],[PMT NO]]&lt;&gt;"",PaymentSchedule45[[#This Row],[BEGINNING BALANCE]]*(InterestRate/PaymentsPerYear),"")</f>
        <v>432.4576081409121</v>
      </c>
      <c r="J32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52092.207498236879</v>
      </c>
      <c r="K326" s="32">
        <f>IF(PaymentSchedule45[[#This Row],[PMT NO]]&lt;&gt;"",SUM(INDEX(PaymentSchedule45[INTEREST],1,1):PaymentSchedule45[[#This Row],[INTEREST]]),"")</f>
        <v>304601.76292210311</v>
      </c>
    </row>
    <row r="327" spans="2:11" x14ac:dyDescent="0.3">
      <c r="B327" s="30">
        <f>IF(LoanIsGood,IF(ROW()-ROW(PaymentSchedule45[[#Headers],[PMT NO]])&gt;ScheduledNumberOfPayments,"",ROW()-ROW(PaymentSchedule45[[#Headers],[PMT NO]])),"")</f>
        <v>312</v>
      </c>
      <c r="C327" s="31">
        <f>IF(PaymentSchedule45[[#This Row],[PMT NO]]&lt;&gt;"",EOMONTH(LoanStartDate,ROW(PaymentSchedule45[[#This Row],[PMT NO]])-ROW(PaymentSchedule45[[#Headers],[PMT NO]])-2)+DAY(LoanStartDate),"")</f>
        <v>52841</v>
      </c>
      <c r="D327" s="32">
        <f>IF(PaymentSchedule45[[#This Row],[PMT NO]]&lt;&gt;"",IF(ROW()-ROW(PaymentSchedule45[[#Headers],[BEGINNING BALANCE]])=1,LoanAmount,INDEX(PaymentSchedule45[ENDING BALANCE],ROW()-ROW(PaymentSchedule45[[#Headers],[BEGINNING BALANCE]])-1)),"")</f>
        <v>52092.207498236879</v>
      </c>
      <c r="E327" s="32">
        <f>IF(PaymentSchedule45[[#This Row],[PMT NO]]&lt;&gt;"",ScheduledPayment,"")</f>
        <v>1294.2429434851008</v>
      </c>
      <c r="F32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2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27" s="32">
        <f>IF(PaymentSchedule45[[#This Row],[PMT NO]]&lt;&gt;"",PaymentSchedule45[[#This Row],[TOTAL PAYMENT]]-PaymentSchedule45[[#This Row],[INTEREST]],"")</f>
        <v>868.82324891616622</v>
      </c>
      <c r="I327" s="32">
        <f>IF(PaymentSchedule45[[#This Row],[PMT NO]]&lt;&gt;"",PaymentSchedule45[[#This Row],[BEGINNING BALANCE]]*(InterestRate/PaymentsPerYear),"")</f>
        <v>425.41969456893457</v>
      </c>
      <c r="J32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51223.384249320712</v>
      </c>
      <c r="K327" s="32">
        <f>IF(PaymentSchedule45[[#This Row],[PMT NO]]&lt;&gt;"",SUM(INDEX(PaymentSchedule45[INTEREST],1,1):PaymentSchedule45[[#This Row],[INTEREST]]),"")</f>
        <v>305027.18261667207</v>
      </c>
    </row>
    <row r="328" spans="2:11" x14ac:dyDescent="0.3">
      <c r="B328" s="30">
        <f>IF(LoanIsGood,IF(ROW()-ROW(PaymentSchedule45[[#Headers],[PMT NO]])&gt;ScheduledNumberOfPayments,"",ROW()-ROW(PaymentSchedule45[[#Headers],[PMT NO]])),"")</f>
        <v>313</v>
      </c>
      <c r="C328" s="31">
        <f>IF(PaymentSchedule45[[#This Row],[PMT NO]]&lt;&gt;"",EOMONTH(LoanStartDate,ROW(PaymentSchedule45[[#This Row],[PMT NO]])-ROW(PaymentSchedule45[[#Headers],[PMT NO]])-2)+DAY(LoanStartDate),"")</f>
        <v>52871</v>
      </c>
      <c r="D328" s="32">
        <f>IF(PaymentSchedule45[[#This Row],[PMT NO]]&lt;&gt;"",IF(ROW()-ROW(PaymentSchedule45[[#Headers],[BEGINNING BALANCE]])=1,LoanAmount,INDEX(PaymentSchedule45[ENDING BALANCE],ROW()-ROW(PaymentSchedule45[[#Headers],[BEGINNING BALANCE]])-1)),"")</f>
        <v>51223.384249320712</v>
      </c>
      <c r="E328" s="32">
        <f>IF(PaymentSchedule45[[#This Row],[PMT NO]]&lt;&gt;"",ScheduledPayment,"")</f>
        <v>1294.2429434851008</v>
      </c>
      <c r="F32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2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28" s="32">
        <f>IF(PaymentSchedule45[[#This Row],[PMT NO]]&lt;&gt;"",PaymentSchedule45[[#This Row],[TOTAL PAYMENT]]-PaymentSchedule45[[#This Row],[INTEREST]],"")</f>
        <v>875.91863878231493</v>
      </c>
      <c r="I328" s="32">
        <f>IF(PaymentSchedule45[[#This Row],[PMT NO]]&lt;&gt;"",PaymentSchedule45[[#This Row],[BEGINNING BALANCE]]*(InterestRate/PaymentsPerYear),"")</f>
        <v>418.32430470278587</v>
      </c>
      <c r="J32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50347.465610538398</v>
      </c>
      <c r="K328" s="32">
        <f>IF(PaymentSchedule45[[#This Row],[PMT NO]]&lt;&gt;"",SUM(INDEX(PaymentSchedule45[INTEREST],1,1):PaymentSchedule45[[#This Row],[INTEREST]]),"")</f>
        <v>305445.50692137488</v>
      </c>
    </row>
    <row r="329" spans="2:11" x14ac:dyDescent="0.3">
      <c r="B329" s="30">
        <f>IF(LoanIsGood,IF(ROW()-ROW(PaymentSchedule45[[#Headers],[PMT NO]])&gt;ScheduledNumberOfPayments,"",ROW()-ROW(PaymentSchedule45[[#Headers],[PMT NO]])),"")</f>
        <v>314</v>
      </c>
      <c r="C329" s="31">
        <f>IF(PaymentSchedule45[[#This Row],[PMT NO]]&lt;&gt;"",EOMONTH(LoanStartDate,ROW(PaymentSchedule45[[#This Row],[PMT NO]])-ROW(PaymentSchedule45[[#Headers],[PMT NO]])-2)+DAY(LoanStartDate),"")</f>
        <v>52902</v>
      </c>
      <c r="D329" s="32">
        <f>IF(PaymentSchedule45[[#This Row],[PMT NO]]&lt;&gt;"",IF(ROW()-ROW(PaymentSchedule45[[#Headers],[BEGINNING BALANCE]])=1,LoanAmount,INDEX(PaymentSchedule45[ENDING BALANCE],ROW()-ROW(PaymentSchedule45[[#Headers],[BEGINNING BALANCE]])-1)),"")</f>
        <v>50347.465610538398</v>
      </c>
      <c r="E329" s="32">
        <f>IF(PaymentSchedule45[[#This Row],[PMT NO]]&lt;&gt;"",ScheduledPayment,"")</f>
        <v>1294.2429434851008</v>
      </c>
      <c r="F32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2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29" s="32">
        <f>IF(PaymentSchedule45[[#This Row],[PMT NO]]&lt;&gt;"",PaymentSchedule45[[#This Row],[TOTAL PAYMENT]]-PaymentSchedule45[[#This Row],[INTEREST]],"")</f>
        <v>883.07197433237047</v>
      </c>
      <c r="I329" s="32">
        <f>IF(PaymentSchedule45[[#This Row],[PMT NO]]&lt;&gt;"",PaymentSchedule45[[#This Row],[BEGINNING BALANCE]]*(InterestRate/PaymentsPerYear),"")</f>
        <v>411.17096915273032</v>
      </c>
      <c r="J32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49464.393636206027</v>
      </c>
      <c r="K329" s="32">
        <f>IF(PaymentSchedule45[[#This Row],[PMT NO]]&lt;&gt;"",SUM(INDEX(PaymentSchedule45[INTEREST],1,1):PaymentSchedule45[[#This Row],[INTEREST]]),"")</f>
        <v>305856.67789052759</v>
      </c>
    </row>
    <row r="330" spans="2:11" x14ac:dyDescent="0.3">
      <c r="B330" s="30">
        <f>IF(LoanIsGood,IF(ROW()-ROW(PaymentSchedule45[[#Headers],[PMT NO]])&gt;ScheduledNumberOfPayments,"",ROW()-ROW(PaymentSchedule45[[#Headers],[PMT NO]])),"")</f>
        <v>315</v>
      </c>
      <c r="C330" s="31">
        <f>IF(PaymentSchedule45[[#This Row],[PMT NO]]&lt;&gt;"",EOMONTH(LoanStartDate,ROW(PaymentSchedule45[[#This Row],[PMT NO]])-ROW(PaymentSchedule45[[#Headers],[PMT NO]])-2)+DAY(LoanStartDate),"")</f>
        <v>52932</v>
      </c>
      <c r="D330" s="32">
        <f>IF(PaymentSchedule45[[#This Row],[PMT NO]]&lt;&gt;"",IF(ROW()-ROW(PaymentSchedule45[[#Headers],[BEGINNING BALANCE]])=1,LoanAmount,INDEX(PaymentSchedule45[ENDING BALANCE],ROW()-ROW(PaymentSchedule45[[#Headers],[BEGINNING BALANCE]])-1)),"")</f>
        <v>49464.393636206027</v>
      </c>
      <c r="E330" s="32">
        <f>IF(PaymentSchedule45[[#This Row],[PMT NO]]&lt;&gt;"",ScheduledPayment,"")</f>
        <v>1294.2429434851008</v>
      </c>
      <c r="F33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3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30" s="32">
        <f>IF(PaymentSchedule45[[#This Row],[PMT NO]]&lt;&gt;"",PaymentSchedule45[[#This Row],[TOTAL PAYMENT]]-PaymentSchedule45[[#This Row],[INTEREST]],"")</f>
        <v>890.28372878941821</v>
      </c>
      <c r="I330" s="32">
        <f>IF(PaymentSchedule45[[#This Row],[PMT NO]]&lt;&gt;"",PaymentSchedule45[[#This Row],[BEGINNING BALANCE]]*(InterestRate/PaymentsPerYear),"")</f>
        <v>403.95921469568259</v>
      </c>
      <c r="J33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48574.109907416605</v>
      </c>
      <c r="K330" s="32">
        <f>IF(PaymentSchedule45[[#This Row],[PMT NO]]&lt;&gt;"",SUM(INDEX(PaymentSchedule45[INTEREST],1,1):PaymentSchedule45[[#This Row],[INTEREST]]),"")</f>
        <v>306260.63710522326</v>
      </c>
    </row>
    <row r="331" spans="2:11" x14ac:dyDescent="0.3">
      <c r="B331" s="30">
        <f>IF(LoanIsGood,IF(ROW()-ROW(PaymentSchedule45[[#Headers],[PMT NO]])&gt;ScheduledNumberOfPayments,"",ROW()-ROW(PaymentSchedule45[[#Headers],[PMT NO]])),"")</f>
        <v>316</v>
      </c>
      <c r="C331" s="31">
        <f>IF(PaymentSchedule45[[#This Row],[PMT NO]]&lt;&gt;"",EOMONTH(LoanStartDate,ROW(PaymentSchedule45[[#This Row],[PMT NO]])-ROW(PaymentSchedule45[[#Headers],[PMT NO]])-2)+DAY(LoanStartDate),"")</f>
        <v>52963</v>
      </c>
      <c r="D331" s="32">
        <f>IF(PaymentSchedule45[[#This Row],[PMT NO]]&lt;&gt;"",IF(ROW()-ROW(PaymentSchedule45[[#Headers],[BEGINNING BALANCE]])=1,LoanAmount,INDEX(PaymentSchedule45[ENDING BALANCE],ROW()-ROW(PaymentSchedule45[[#Headers],[BEGINNING BALANCE]])-1)),"")</f>
        <v>48574.109907416605</v>
      </c>
      <c r="E331" s="32">
        <f>IF(PaymentSchedule45[[#This Row],[PMT NO]]&lt;&gt;"",ScheduledPayment,"")</f>
        <v>1294.2429434851008</v>
      </c>
      <c r="F33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3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31" s="32">
        <f>IF(PaymentSchedule45[[#This Row],[PMT NO]]&lt;&gt;"",PaymentSchedule45[[#This Row],[TOTAL PAYMENT]]-PaymentSchedule45[[#This Row],[INTEREST]],"")</f>
        <v>897.55437924119849</v>
      </c>
      <c r="I331" s="32">
        <f>IF(PaymentSchedule45[[#This Row],[PMT NO]]&lt;&gt;"",PaymentSchedule45[[#This Row],[BEGINNING BALANCE]]*(InterestRate/PaymentsPerYear),"")</f>
        <v>396.68856424390231</v>
      </c>
      <c r="J33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47676.555528175406</v>
      </c>
      <c r="K331" s="32">
        <f>IF(PaymentSchedule45[[#This Row],[PMT NO]]&lt;&gt;"",SUM(INDEX(PaymentSchedule45[INTEREST],1,1):PaymentSchedule45[[#This Row],[INTEREST]]),"")</f>
        <v>306657.32566946716</v>
      </c>
    </row>
    <row r="332" spans="2:11" x14ac:dyDescent="0.3">
      <c r="B332" s="30">
        <f>IF(LoanIsGood,IF(ROW()-ROW(PaymentSchedule45[[#Headers],[PMT NO]])&gt;ScheduledNumberOfPayments,"",ROW()-ROW(PaymentSchedule45[[#Headers],[PMT NO]])),"")</f>
        <v>317</v>
      </c>
      <c r="C332" s="31">
        <f>IF(PaymentSchedule45[[#This Row],[PMT NO]]&lt;&gt;"",EOMONTH(LoanStartDate,ROW(PaymentSchedule45[[#This Row],[PMT NO]])-ROW(PaymentSchedule45[[#Headers],[PMT NO]])-2)+DAY(LoanStartDate),"")</f>
        <v>52994</v>
      </c>
      <c r="D332" s="32">
        <f>IF(PaymentSchedule45[[#This Row],[PMT NO]]&lt;&gt;"",IF(ROW()-ROW(PaymentSchedule45[[#Headers],[BEGINNING BALANCE]])=1,LoanAmount,INDEX(PaymentSchedule45[ENDING BALANCE],ROW()-ROW(PaymentSchedule45[[#Headers],[BEGINNING BALANCE]])-1)),"")</f>
        <v>47676.555528175406</v>
      </c>
      <c r="E332" s="32">
        <f>IF(PaymentSchedule45[[#This Row],[PMT NO]]&lt;&gt;"",ScheduledPayment,"")</f>
        <v>1294.2429434851008</v>
      </c>
      <c r="F33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3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32" s="32">
        <f>IF(PaymentSchedule45[[#This Row],[PMT NO]]&lt;&gt;"",PaymentSchedule45[[#This Row],[TOTAL PAYMENT]]-PaymentSchedule45[[#This Row],[INTEREST]],"")</f>
        <v>904.88440667166833</v>
      </c>
      <c r="I332" s="32">
        <f>IF(PaymentSchedule45[[#This Row],[PMT NO]]&lt;&gt;"",PaymentSchedule45[[#This Row],[BEGINNING BALANCE]]*(InterestRate/PaymentsPerYear),"")</f>
        <v>389.35853681343252</v>
      </c>
      <c r="J33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46771.671121503736</v>
      </c>
      <c r="K332" s="32">
        <f>IF(PaymentSchedule45[[#This Row],[PMT NO]]&lt;&gt;"",SUM(INDEX(PaymentSchedule45[INTEREST],1,1):PaymentSchedule45[[#This Row],[INTEREST]]),"")</f>
        <v>307046.68420628057</v>
      </c>
    </row>
    <row r="333" spans="2:11" x14ac:dyDescent="0.3">
      <c r="B333" s="30">
        <f>IF(LoanIsGood,IF(ROW()-ROW(PaymentSchedule45[[#Headers],[PMT NO]])&gt;ScheduledNumberOfPayments,"",ROW()-ROW(PaymentSchedule45[[#Headers],[PMT NO]])),"")</f>
        <v>318</v>
      </c>
      <c r="C333" s="31">
        <f>IF(PaymentSchedule45[[#This Row],[PMT NO]]&lt;&gt;"",EOMONTH(LoanStartDate,ROW(PaymentSchedule45[[#This Row],[PMT NO]])-ROW(PaymentSchedule45[[#Headers],[PMT NO]])-2)+DAY(LoanStartDate),"")</f>
        <v>53022</v>
      </c>
      <c r="D333" s="32">
        <f>IF(PaymentSchedule45[[#This Row],[PMT NO]]&lt;&gt;"",IF(ROW()-ROW(PaymentSchedule45[[#Headers],[BEGINNING BALANCE]])=1,LoanAmount,INDEX(PaymentSchedule45[ENDING BALANCE],ROW()-ROW(PaymentSchedule45[[#Headers],[BEGINNING BALANCE]])-1)),"")</f>
        <v>46771.671121503736</v>
      </c>
      <c r="E333" s="32">
        <f>IF(PaymentSchedule45[[#This Row],[PMT NO]]&lt;&gt;"",ScheduledPayment,"")</f>
        <v>1294.2429434851008</v>
      </c>
      <c r="F33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3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33" s="32">
        <f>IF(PaymentSchedule45[[#This Row],[PMT NO]]&lt;&gt;"",PaymentSchedule45[[#This Row],[TOTAL PAYMENT]]-PaymentSchedule45[[#This Row],[INTEREST]],"")</f>
        <v>912.27429599282027</v>
      </c>
      <c r="I333" s="32">
        <f>IF(PaymentSchedule45[[#This Row],[PMT NO]]&lt;&gt;"",PaymentSchedule45[[#This Row],[BEGINNING BALANCE]]*(InterestRate/PaymentsPerYear),"")</f>
        <v>381.96864749228052</v>
      </c>
      <c r="J33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45859.396825510914</v>
      </c>
      <c r="K333" s="32">
        <f>IF(PaymentSchedule45[[#This Row],[PMT NO]]&lt;&gt;"",SUM(INDEX(PaymentSchedule45[INTEREST],1,1):PaymentSchedule45[[#This Row],[INTEREST]]),"")</f>
        <v>307428.65285377286</v>
      </c>
    </row>
    <row r="334" spans="2:11" x14ac:dyDescent="0.3">
      <c r="B334" s="30">
        <f>IF(LoanIsGood,IF(ROW()-ROW(PaymentSchedule45[[#Headers],[PMT NO]])&gt;ScheduledNumberOfPayments,"",ROW()-ROW(PaymentSchedule45[[#Headers],[PMT NO]])),"")</f>
        <v>319</v>
      </c>
      <c r="C334" s="31">
        <f>IF(PaymentSchedule45[[#This Row],[PMT NO]]&lt;&gt;"",EOMONTH(LoanStartDate,ROW(PaymentSchedule45[[#This Row],[PMT NO]])-ROW(PaymentSchedule45[[#Headers],[PMT NO]])-2)+DAY(LoanStartDate),"")</f>
        <v>53053</v>
      </c>
      <c r="D334" s="32">
        <f>IF(PaymentSchedule45[[#This Row],[PMT NO]]&lt;&gt;"",IF(ROW()-ROW(PaymentSchedule45[[#Headers],[BEGINNING BALANCE]])=1,LoanAmount,INDEX(PaymentSchedule45[ENDING BALANCE],ROW()-ROW(PaymentSchedule45[[#Headers],[BEGINNING BALANCE]])-1)),"")</f>
        <v>45859.396825510914</v>
      </c>
      <c r="E334" s="32">
        <f>IF(PaymentSchedule45[[#This Row],[PMT NO]]&lt;&gt;"",ScheduledPayment,"")</f>
        <v>1294.2429434851008</v>
      </c>
      <c r="F33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3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34" s="32">
        <f>IF(PaymentSchedule45[[#This Row],[PMT NO]]&lt;&gt;"",PaymentSchedule45[[#This Row],[TOTAL PAYMENT]]-PaymentSchedule45[[#This Row],[INTEREST]],"")</f>
        <v>919.72453607676164</v>
      </c>
      <c r="I334" s="32">
        <f>IF(PaymentSchedule45[[#This Row],[PMT NO]]&lt;&gt;"",PaymentSchedule45[[#This Row],[BEGINNING BALANCE]]*(InterestRate/PaymentsPerYear),"")</f>
        <v>374.51840740833916</v>
      </c>
      <c r="J33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44939.672289434151</v>
      </c>
      <c r="K334" s="32">
        <f>IF(PaymentSchedule45[[#This Row],[PMT NO]]&lt;&gt;"",SUM(INDEX(PaymentSchedule45[INTEREST],1,1):PaymentSchedule45[[#This Row],[INTEREST]]),"")</f>
        <v>307803.17126118118</v>
      </c>
    </row>
    <row r="335" spans="2:11" x14ac:dyDescent="0.3">
      <c r="B335" s="30">
        <f>IF(LoanIsGood,IF(ROW()-ROW(PaymentSchedule45[[#Headers],[PMT NO]])&gt;ScheduledNumberOfPayments,"",ROW()-ROW(PaymentSchedule45[[#Headers],[PMT NO]])),"")</f>
        <v>320</v>
      </c>
      <c r="C335" s="31">
        <f>IF(PaymentSchedule45[[#This Row],[PMT NO]]&lt;&gt;"",EOMONTH(LoanStartDate,ROW(PaymentSchedule45[[#This Row],[PMT NO]])-ROW(PaymentSchedule45[[#Headers],[PMT NO]])-2)+DAY(LoanStartDate),"")</f>
        <v>53083</v>
      </c>
      <c r="D335" s="32">
        <f>IF(PaymentSchedule45[[#This Row],[PMT NO]]&lt;&gt;"",IF(ROW()-ROW(PaymentSchedule45[[#Headers],[BEGINNING BALANCE]])=1,LoanAmount,INDEX(PaymentSchedule45[ENDING BALANCE],ROW()-ROW(PaymentSchedule45[[#Headers],[BEGINNING BALANCE]])-1)),"")</f>
        <v>44939.672289434151</v>
      </c>
      <c r="E335" s="32">
        <f>IF(PaymentSchedule45[[#This Row],[PMT NO]]&lt;&gt;"",ScheduledPayment,"")</f>
        <v>1294.2429434851008</v>
      </c>
      <c r="F33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3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35" s="32">
        <f>IF(PaymentSchedule45[[#This Row],[PMT NO]]&lt;&gt;"",PaymentSchedule45[[#This Row],[TOTAL PAYMENT]]-PaymentSchedule45[[#This Row],[INTEREST]],"")</f>
        <v>927.23561978805515</v>
      </c>
      <c r="I335" s="32">
        <f>IF(PaymentSchedule45[[#This Row],[PMT NO]]&lt;&gt;"",PaymentSchedule45[[#This Row],[BEGINNING BALANCE]]*(InterestRate/PaymentsPerYear),"")</f>
        <v>367.00732369704559</v>
      </c>
      <c r="J33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44012.436669646093</v>
      </c>
      <c r="K335" s="32">
        <f>IF(PaymentSchedule45[[#This Row],[PMT NO]]&lt;&gt;"",SUM(INDEX(PaymentSchedule45[INTEREST],1,1):PaymentSchedule45[[#This Row],[INTEREST]]),"")</f>
        <v>308170.17858487822</v>
      </c>
    </row>
    <row r="336" spans="2:11" x14ac:dyDescent="0.3">
      <c r="B336" s="30">
        <f>IF(LoanIsGood,IF(ROW()-ROW(PaymentSchedule45[[#Headers],[PMT NO]])&gt;ScheduledNumberOfPayments,"",ROW()-ROW(PaymentSchedule45[[#Headers],[PMT NO]])),"")</f>
        <v>321</v>
      </c>
      <c r="C336" s="31">
        <f>IF(PaymentSchedule45[[#This Row],[PMT NO]]&lt;&gt;"",EOMONTH(LoanStartDate,ROW(PaymentSchedule45[[#This Row],[PMT NO]])-ROW(PaymentSchedule45[[#Headers],[PMT NO]])-2)+DAY(LoanStartDate),"")</f>
        <v>53114</v>
      </c>
      <c r="D336" s="32">
        <f>IF(PaymentSchedule45[[#This Row],[PMT NO]]&lt;&gt;"",IF(ROW()-ROW(PaymentSchedule45[[#Headers],[BEGINNING BALANCE]])=1,LoanAmount,INDEX(PaymentSchedule45[ENDING BALANCE],ROW()-ROW(PaymentSchedule45[[#Headers],[BEGINNING BALANCE]])-1)),"")</f>
        <v>44012.436669646093</v>
      </c>
      <c r="E336" s="32">
        <f>IF(PaymentSchedule45[[#This Row],[PMT NO]]&lt;&gt;"",ScheduledPayment,"")</f>
        <v>1294.2429434851008</v>
      </c>
      <c r="F33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3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36" s="32">
        <f>IF(PaymentSchedule45[[#This Row],[PMT NO]]&lt;&gt;"",PaymentSchedule45[[#This Row],[TOTAL PAYMENT]]-PaymentSchedule45[[#This Row],[INTEREST]],"")</f>
        <v>934.8080440163244</v>
      </c>
      <c r="I336" s="32">
        <f>IF(PaymentSchedule45[[#This Row],[PMT NO]]&lt;&gt;"",PaymentSchedule45[[#This Row],[BEGINNING BALANCE]]*(InterestRate/PaymentsPerYear),"")</f>
        <v>359.43489946877645</v>
      </c>
      <c r="J33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43077.628625629768</v>
      </c>
      <c r="K336" s="32">
        <f>IF(PaymentSchedule45[[#This Row],[PMT NO]]&lt;&gt;"",SUM(INDEX(PaymentSchedule45[INTEREST],1,1):PaymentSchedule45[[#This Row],[INTEREST]]),"")</f>
        <v>308529.61348434701</v>
      </c>
    </row>
    <row r="337" spans="2:11" x14ac:dyDescent="0.3">
      <c r="B337" s="30">
        <f>IF(LoanIsGood,IF(ROW()-ROW(PaymentSchedule45[[#Headers],[PMT NO]])&gt;ScheduledNumberOfPayments,"",ROW()-ROW(PaymentSchedule45[[#Headers],[PMT NO]])),"")</f>
        <v>322</v>
      </c>
      <c r="C337" s="31">
        <f>IF(PaymentSchedule45[[#This Row],[PMT NO]]&lt;&gt;"",EOMONTH(LoanStartDate,ROW(PaymentSchedule45[[#This Row],[PMT NO]])-ROW(PaymentSchedule45[[#Headers],[PMT NO]])-2)+DAY(LoanStartDate),"")</f>
        <v>53144</v>
      </c>
      <c r="D337" s="32">
        <f>IF(PaymentSchedule45[[#This Row],[PMT NO]]&lt;&gt;"",IF(ROW()-ROW(PaymentSchedule45[[#Headers],[BEGINNING BALANCE]])=1,LoanAmount,INDEX(PaymentSchedule45[ENDING BALANCE],ROW()-ROW(PaymentSchedule45[[#Headers],[BEGINNING BALANCE]])-1)),"")</f>
        <v>43077.628625629768</v>
      </c>
      <c r="E337" s="32">
        <f>IF(PaymentSchedule45[[#This Row],[PMT NO]]&lt;&gt;"",ScheduledPayment,"")</f>
        <v>1294.2429434851008</v>
      </c>
      <c r="F33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3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37" s="32">
        <f>IF(PaymentSchedule45[[#This Row],[PMT NO]]&lt;&gt;"",PaymentSchedule45[[#This Row],[TOTAL PAYMENT]]-PaymentSchedule45[[#This Row],[INTEREST]],"")</f>
        <v>942.4423097091244</v>
      </c>
      <c r="I337" s="32">
        <f>IF(PaymentSchedule45[[#This Row],[PMT NO]]&lt;&gt;"",PaymentSchedule45[[#This Row],[BEGINNING BALANCE]]*(InterestRate/PaymentsPerYear),"")</f>
        <v>351.80063377597645</v>
      </c>
      <c r="J33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42135.18631592064</v>
      </c>
      <c r="K337" s="32">
        <f>IF(PaymentSchedule45[[#This Row],[PMT NO]]&lt;&gt;"",SUM(INDEX(PaymentSchedule45[INTEREST],1,1):PaymentSchedule45[[#This Row],[INTEREST]]),"")</f>
        <v>308881.41411812301</v>
      </c>
    </row>
    <row r="338" spans="2:11" x14ac:dyDescent="0.3">
      <c r="B338" s="30">
        <f>IF(LoanIsGood,IF(ROW()-ROW(PaymentSchedule45[[#Headers],[PMT NO]])&gt;ScheduledNumberOfPayments,"",ROW()-ROW(PaymentSchedule45[[#Headers],[PMT NO]])),"")</f>
        <v>323</v>
      </c>
      <c r="C338" s="31">
        <f>IF(PaymentSchedule45[[#This Row],[PMT NO]]&lt;&gt;"",EOMONTH(LoanStartDate,ROW(PaymentSchedule45[[#This Row],[PMT NO]])-ROW(PaymentSchedule45[[#Headers],[PMT NO]])-2)+DAY(LoanStartDate),"")</f>
        <v>53175</v>
      </c>
      <c r="D338" s="32">
        <f>IF(PaymentSchedule45[[#This Row],[PMT NO]]&lt;&gt;"",IF(ROW()-ROW(PaymentSchedule45[[#Headers],[BEGINNING BALANCE]])=1,LoanAmount,INDEX(PaymentSchedule45[ENDING BALANCE],ROW()-ROW(PaymentSchedule45[[#Headers],[BEGINNING BALANCE]])-1)),"")</f>
        <v>42135.18631592064</v>
      </c>
      <c r="E338" s="32">
        <f>IF(PaymentSchedule45[[#This Row],[PMT NO]]&lt;&gt;"",ScheduledPayment,"")</f>
        <v>1294.2429434851008</v>
      </c>
      <c r="F33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3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38" s="32">
        <f>IF(PaymentSchedule45[[#This Row],[PMT NO]]&lt;&gt;"",PaymentSchedule45[[#This Row],[TOTAL PAYMENT]]-PaymentSchedule45[[#This Row],[INTEREST]],"")</f>
        <v>950.13892190508227</v>
      </c>
      <c r="I338" s="32">
        <f>IF(PaymentSchedule45[[#This Row],[PMT NO]]&lt;&gt;"",PaymentSchedule45[[#This Row],[BEGINNING BALANCE]]*(InterestRate/PaymentsPerYear),"")</f>
        <v>344.10402158001858</v>
      </c>
      <c r="J33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41185.047394015557</v>
      </c>
      <c r="K338" s="32">
        <f>IF(PaymentSchedule45[[#This Row],[PMT NO]]&lt;&gt;"",SUM(INDEX(PaymentSchedule45[INTEREST],1,1):PaymentSchedule45[[#This Row],[INTEREST]]),"")</f>
        <v>309225.51813970302</v>
      </c>
    </row>
    <row r="339" spans="2:11" x14ac:dyDescent="0.3">
      <c r="B339" s="30">
        <f>IF(LoanIsGood,IF(ROW()-ROW(PaymentSchedule45[[#Headers],[PMT NO]])&gt;ScheduledNumberOfPayments,"",ROW()-ROW(PaymentSchedule45[[#Headers],[PMT NO]])),"")</f>
        <v>324</v>
      </c>
      <c r="C339" s="31">
        <f>IF(PaymentSchedule45[[#This Row],[PMT NO]]&lt;&gt;"",EOMONTH(LoanStartDate,ROW(PaymentSchedule45[[#This Row],[PMT NO]])-ROW(PaymentSchedule45[[#Headers],[PMT NO]])-2)+DAY(LoanStartDate),"")</f>
        <v>53206</v>
      </c>
      <c r="D339" s="32">
        <f>IF(PaymentSchedule45[[#This Row],[PMT NO]]&lt;&gt;"",IF(ROW()-ROW(PaymentSchedule45[[#Headers],[BEGINNING BALANCE]])=1,LoanAmount,INDEX(PaymentSchedule45[ENDING BALANCE],ROW()-ROW(PaymentSchedule45[[#Headers],[BEGINNING BALANCE]])-1)),"")</f>
        <v>41185.047394015557</v>
      </c>
      <c r="E339" s="32">
        <f>IF(PaymentSchedule45[[#This Row],[PMT NO]]&lt;&gt;"",ScheduledPayment,"")</f>
        <v>1294.2429434851008</v>
      </c>
      <c r="F33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3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39" s="32">
        <f>IF(PaymentSchedule45[[#This Row],[PMT NO]]&lt;&gt;"",PaymentSchedule45[[#This Row],[TOTAL PAYMENT]]-PaymentSchedule45[[#This Row],[INTEREST]],"")</f>
        <v>957.89838976730698</v>
      </c>
      <c r="I339" s="32">
        <f>IF(PaymentSchedule45[[#This Row],[PMT NO]]&lt;&gt;"",PaymentSchedule45[[#This Row],[BEGINNING BALANCE]]*(InterestRate/PaymentsPerYear),"")</f>
        <v>336.34455371779376</v>
      </c>
      <c r="J33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40227.149004248247</v>
      </c>
      <c r="K339" s="32">
        <f>IF(PaymentSchedule45[[#This Row],[PMT NO]]&lt;&gt;"",SUM(INDEX(PaymentSchedule45[INTEREST],1,1):PaymentSchedule45[[#This Row],[INTEREST]]),"")</f>
        <v>309561.86269342084</v>
      </c>
    </row>
    <row r="340" spans="2:11" x14ac:dyDescent="0.3">
      <c r="B340" s="30">
        <f>IF(LoanIsGood,IF(ROW()-ROW(PaymentSchedule45[[#Headers],[PMT NO]])&gt;ScheduledNumberOfPayments,"",ROW()-ROW(PaymentSchedule45[[#Headers],[PMT NO]])),"")</f>
        <v>325</v>
      </c>
      <c r="C340" s="31">
        <f>IF(PaymentSchedule45[[#This Row],[PMT NO]]&lt;&gt;"",EOMONTH(LoanStartDate,ROW(PaymentSchedule45[[#This Row],[PMT NO]])-ROW(PaymentSchedule45[[#Headers],[PMT NO]])-2)+DAY(LoanStartDate),"")</f>
        <v>53236</v>
      </c>
      <c r="D340" s="32">
        <f>IF(PaymentSchedule45[[#This Row],[PMT NO]]&lt;&gt;"",IF(ROW()-ROW(PaymentSchedule45[[#Headers],[BEGINNING BALANCE]])=1,LoanAmount,INDEX(PaymentSchedule45[ENDING BALANCE],ROW()-ROW(PaymentSchedule45[[#Headers],[BEGINNING BALANCE]])-1)),"")</f>
        <v>40227.149004248247</v>
      </c>
      <c r="E340" s="32">
        <f>IF(PaymentSchedule45[[#This Row],[PMT NO]]&lt;&gt;"",ScheduledPayment,"")</f>
        <v>1294.2429434851008</v>
      </c>
      <c r="F34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4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40" s="32">
        <f>IF(PaymentSchedule45[[#This Row],[PMT NO]]&lt;&gt;"",PaymentSchedule45[[#This Row],[TOTAL PAYMENT]]-PaymentSchedule45[[#This Row],[INTEREST]],"")</f>
        <v>965.7212266170734</v>
      </c>
      <c r="I340" s="32">
        <f>IF(PaymentSchedule45[[#This Row],[PMT NO]]&lt;&gt;"",PaymentSchedule45[[#This Row],[BEGINNING BALANCE]]*(InterestRate/PaymentsPerYear),"")</f>
        <v>328.5217168680274</v>
      </c>
      <c r="J34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39261.427777631172</v>
      </c>
      <c r="K340" s="32">
        <f>IF(PaymentSchedule45[[#This Row],[PMT NO]]&lt;&gt;"",SUM(INDEX(PaymentSchedule45[INTEREST],1,1):PaymentSchedule45[[#This Row],[INTEREST]]),"")</f>
        <v>309890.38441028888</v>
      </c>
    </row>
    <row r="341" spans="2:11" x14ac:dyDescent="0.3">
      <c r="B341" s="30">
        <f>IF(LoanIsGood,IF(ROW()-ROW(PaymentSchedule45[[#Headers],[PMT NO]])&gt;ScheduledNumberOfPayments,"",ROW()-ROW(PaymentSchedule45[[#Headers],[PMT NO]])),"")</f>
        <v>326</v>
      </c>
      <c r="C341" s="31">
        <f>IF(PaymentSchedule45[[#This Row],[PMT NO]]&lt;&gt;"",EOMONTH(LoanStartDate,ROW(PaymentSchedule45[[#This Row],[PMT NO]])-ROW(PaymentSchedule45[[#Headers],[PMT NO]])-2)+DAY(LoanStartDate),"")</f>
        <v>53267</v>
      </c>
      <c r="D341" s="32">
        <f>IF(PaymentSchedule45[[#This Row],[PMT NO]]&lt;&gt;"",IF(ROW()-ROW(PaymentSchedule45[[#Headers],[BEGINNING BALANCE]])=1,LoanAmount,INDEX(PaymentSchedule45[ENDING BALANCE],ROW()-ROW(PaymentSchedule45[[#Headers],[BEGINNING BALANCE]])-1)),"")</f>
        <v>39261.427777631172</v>
      </c>
      <c r="E341" s="32">
        <f>IF(PaymentSchedule45[[#This Row],[PMT NO]]&lt;&gt;"",ScheduledPayment,"")</f>
        <v>1294.2429434851008</v>
      </c>
      <c r="F34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4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41" s="32">
        <f>IF(PaymentSchedule45[[#This Row],[PMT NO]]&lt;&gt;"",PaymentSchedule45[[#This Row],[TOTAL PAYMENT]]-PaymentSchedule45[[#This Row],[INTEREST]],"")</f>
        <v>973.60794996777952</v>
      </c>
      <c r="I341" s="32">
        <f>IF(PaymentSchedule45[[#This Row],[PMT NO]]&lt;&gt;"",PaymentSchedule45[[#This Row],[BEGINNING BALANCE]]*(InterestRate/PaymentsPerYear),"")</f>
        <v>320.63499351732128</v>
      </c>
      <c r="J34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38287.819827663392</v>
      </c>
      <c r="K341" s="32">
        <f>IF(PaymentSchedule45[[#This Row],[PMT NO]]&lt;&gt;"",SUM(INDEX(PaymentSchedule45[INTEREST],1,1):PaymentSchedule45[[#This Row],[INTEREST]]),"")</f>
        <v>310211.01940380619</v>
      </c>
    </row>
    <row r="342" spans="2:11" x14ac:dyDescent="0.3">
      <c r="B342" s="30">
        <f>IF(LoanIsGood,IF(ROW()-ROW(PaymentSchedule45[[#Headers],[PMT NO]])&gt;ScheduledNumberOfPayments,"",ROW()-ROW(PaymentSchedule45[[#Headers],[PMT NO]])),"")</f>
        <v>327</v>
      </c>
      <c r="C342" s="31">
        <f>IF(PaymentSchedule45[[#This Row],[PMT NO]]&lt;&gt;"",EOMONTH(LoanStartDate,ROW(PaymentSchedule45[[#This Row],[PMT NO]])-ROW(PaymentSchedule45[[#Headers],[PMT NO]])-2)+DAY(LoanStartDate),"")</f>
        <v>53297</v>
      </c>
      <c r="D342" s="32">
        <f>IF(PaymentSchedule45[[#This Row],[PMT NO]]&lt;&gt;"",IF(ROW()-ROW(PaymentSchedule45[[#Headers],[BEGINNING BALANCE]])=1,LoanAmount,INDEX(PaymentSchedule45[ENDING BALANCE],ROW()-ROW(PaymentSchedule45[[#Headers],[BEGINNING BALANCE]])-1)),"")</f>
        <v>38287.819827663392</v>
      </c>
      <c r="E342" s="32">
        <f>IF(PaymentSchedule45[[#This Row],[PMT NO]]&lt;&gt;"",ScheduledPayment,"")</f>
        <v>1294.2429434851008</v>
      </c>
      <c r="F34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4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42" s="32">
        <f>IF(PaymentSchedule45[[#This Row],[PMT NO]]&lt;&gt;"",PaymentSchedule45[[#This Row],[TOTAL PAYMENT]]-PaymentSchedule45[[#This Row],[INTEREST]],"")</f>
        <v>981.55908155918314</v>
      </c>
      <c r="I342" s="32">
        <f>IF(PaymentSchedule45[[#This Row],[PMT NO]]&lt;&gt;"",PaymentSchedule45[[#This Row],[BEGINNING BALANCE]]*(InterestRate/PaymentsPerYear),"")</f>
        <v>312.68386192591771</v>
      </c>
      <c r="J34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37306.260746104206</v>
      </c>
      <c r="K342" s="32">
        <f>IF(PaymentSchedule45[[#This Row],[PMT NO]]&lt;&gt;"",SUM(INDEX(PaymentSchedule45[INTEREST],1,1):PaymentSchedule45[[#This Row],[INTEREST]]),"")</f>
        <v>310523.7032657321</v>
      </c>
    </row>
    <row r="343" spans="2:11" x14ac:dyDescent="0.3">
      <c r="B343" s="30">
        <f>IF(LoanIsGood,IF(ROW()-ROW(PaymentSchedule45[[#Headers],[PMT NO]])&gt;ScheduledNumberOfPayments,"",ROW()-ROW(PaymentSchedule45[[#Headers],[PMT NO]])),"")</f>
        <v>328</v>
      </c>
      <c r="C343" s="31">
        <f>IF(PaymentSchedule45[[#This Row],[PMT NO]]&lt;&gt;"",EOMONTH(LoanStartDate,ROW(PaymentSchedule45[[#This Row],[PMT NO]])-ROW(PaymentSchedule45[[#Headers],[PMT NO]])-2)+DAY(LoanStartDate),"")</f>
        <v>53328</v>
      </c>
      <c r="D343" s="32">
        <f>IF(PaymentSchedule45[[#This Row],[PMT NO]]&lt;&gt;"",IF(ROW()-ROW(PaymentSchedule45[[#Headers],[BEGINNING BALANCE]])=1,LoanAmount,INDEX(PaymentSchedule45[ENDING BALANCE],ROW()-ROW(PaymentSchedule45[[#Headers],[BEGINNING BALANCE]])-1)),"")</f>
        <v>37306.260746104206</v>
      </c>
      <c r="E343" s="32">
        <f>IF(PaymentSchedule45[[#This Row],[PMT NO]]&lt;&gt;"",ScheduledPayment,"")</f>
        <v>1294.2429434851008</v>
      </c>
      <c r="F34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4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43" s="32">
        <f>IF(PaymentSchedule45[[#This Row],[PMT NO]]&lt;&gt;"",PaymentSchedule45[[#This Row],[TOTAL PAYMENT]]-PaymentSchedule45[[#This Row],[INTEREST]],"")</f>
        <v>989.5751473919164</v>
      </c>
      <c r="I343" s="32">
        <f>IF(PaymentSchedule45[[#This Row],[PMT NO]]&lt;&gt;"",PaymentSchedule45[[#This Row],[BEGINNING BALANCE]]*(InterestRate/PaymentsPerYear),"")</f>
        <v>304.66779609318439</v>
      </c>
      <c r="J34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36316.685598712291</v>
      </c>
      <c r="K343" s="32">
        <f>IF(PaymentSchedule45[[#This Row],[PMT NO]]&lt;&gt;"",SUM(INDEX(PaymentSchedule45[INTEREST],1,1):PaymentSchedule45[[#This Row],[INTEREST]]),"")</f>
        <v>310828.37106182525</v>
      </c>
    </row>
    <row r="344" spans="2:11" x14ac:dyDescent="0.3">
      <c r="B344" s="30">
        <f>IF(LoanIsGood,IF(ROW()-ROW(PaymentSchedule45[[#Headers],[PMT NO]])&gt;ScheduledNumberOfPayments,"",ROW()-ROW(PaymentSchedule45[[#Headers],[PMT NO]])),"")</f>
        <v>329</v>
      </c>
      <c r="C344" s="31">
        <f>IF(PaymentSchedule45[[#This Row],[PMT NO]]&lt;&gt;"",EOMONTH(LoanStartDate,ROW(PaymentSchedule45[[#This Row],[PMT NO]])-ROW(PaymentSchedule45[[#Headers],[PMT NO]])-2)+DAY(LoanStartDate),"")</f>
        <v>53359</v>
      </c>
      <c r="D344" s="32">
        <f>IF(PaymentSchedule45[[#This Row],[PMT NO]]&lt;&gt;"",IF(ROW()-ROW(PaymentSchedule45[[#Headers],[BEGINNING BALANCE]])=1,LoanAmount,INDEX(PaymentSchedule45[ENDING BALANCE],ROW()-ROW(PaymentSchedule45[[#Headers],[BEGINNING BALANCE]])-1)),"")</f>
        <v>36316.685598712291</v>
      </c>
      <c r="E344" s="32">
        <f>IF(PaymentSchedule45[[#This Row],[PMT NO]]&lt;&gt;"",ScheduledPayment,"")</f>
        <v>1294.2429434851008</v>
      </c>
      <c r="F34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4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44" s="32">
        <f>IF(PaymentSchedule45[[#This Row],[PMT NO]]&lt;&gt;"",PaymentSchedule45[[#This Row],[TOTAL PAYMENT]]-PaymentSchedule45[[#This Row],[INTEREST]],"")</f>
        <v>997.65667776228372</v>
      </c>
      <c r="I344" s="32">
        <f>IF(PaymentSchedule45[[#This Row],[PMT NO]]&lt;&gt;"",PaymentSchedule45[[#This Row],[BEGINNING BALANCE]]*(InterestRate/PaymentsPerYear),"")</f>
        <v>296.58626572281707</v>
      </c>
      <c r="J34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35319.028920950004</v>
      </c>
      <c r="K344" s="32">
        <f>IF(PaymentSchedule45[[#This Row],[PMT NO]]&lt;&gt;"",SUM(INDEX(PaymentSchedule45[INTEREST],1,1):PaymentSchedule45[[#This Row],[INTEREST]]),"")</f>
        <v>311124.95732754807</v>
      </c>
    </row>
    <row r="345" spans="2:11" x14ac:dyDescent="0.3">
      <c r="B345" s="30">
        <f>IF(LoanIsGood,IF(ROW()-ROW(PaymentSchedule45[[#Headers],[PMT NO]])&gt;ScheduledNumberOfPayments,"",ROW()-ROW(PaymentSchedule45[[#Headers],[PMT NO]])),"")</f>
        <v>330</v>
      </c>
      <c r="C345" s="31">
        <f>IF(PaymentSchedule45[[#This Row],[PMT NO]]&lt;&gt;"",EOMONTH(LoanStartDate,ROW(PaymentSchedule45[[#This Row],[PMT NO]])-ROW(PaymentSchedule45[[#Headers],[PMT NO]])-2)+DAY(LoanStartDate),"")</f>
        <v>53387</v>
      </c>
      <c r="D345" s="32">
        <f>IF(PaymentSchedule45[[#This Row],[PMT NO]]&lt;&gt;"",IF(ROW()-ROW(PaymentSchedule45[[#Headers],[BEGINNING BALANCE]])=1,LoanAmount,INDEX(PaymentSchedule45[ENDING BALANCE],ROW()-ROW(PaymentSchedule45[[#Headers],[BEGINNING BALANCE]])-1)),"")</f>
        <v>35319.028920950004</v>
      </c>
      <c r="E345" s="32">
        <f>IF(PaymentSchedule45[[#This Row],[PMT NO]]&lt;&gt;"",ScheduledPayment,"")</f>
        <v>1294.2429434851008</v>
      </c>
      <c r="F34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4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45" s="32">
        <f>IF(PaymentSchedule45[[#This Row],[PMT NO]]&lt;&gt;"",PaymentSchedule45[[#This Row],[TOTAL PAYMENT]]-PaymentSchedule45[[#This Row],[INTEREST]],"")</f>
        <v>1005.8042072973424</v>
      </c>
      <c r="I345" s="32">
        <f>IF(PaymentSchedule45[[#This Row],[PMT NO]]&lt;&gt;"",PaymentSchedule45[[#This Row],[BEGINNING BALANCE]]*(InterestRate/PaymentsPerYear),"")</f>
        <v>288.43873618775842</v>
      </c>
      <c r="J34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34313.224713652664</v>
      </c>
      <c r="K345" s="32">
        <f>IF(PaymentSchedule45[[#This Row],[PMT NO]]&lt;&gt;"",SUM(INDEX(PaymentSchedule45[INTEREST],1,1):PaymentSchedule45[[#This Row],[INTEREST]]),"")</f>
        <v>311413.39606373583</v>
      </c>
    </row>
    <row r="346" spans="2:11" x14ac:dyDescent="0.3">
      <c r="B346" s="30">
        <f>IF(LoanIsGood,IF(ROW()-ROW(PaymentSchedule45[[#Headers],[PMT NO]])&gt;ScheduledNumberOfPayments,"",ROW()-ROW(PaymentSchedule45[[#Headers],[PMT NO]])),"")</f>
        <v>331</v>
      </c>
      <c r="C346" s="31">
        <f>IF(PaymentSchedule45[[#This Row],[PMT NO]]&lt;&gt;"",EOMONTH(LoanStartDate,ROW(PaymentSchedule45[[#This Row],[PMT NO]])-ROW(PaymentSchedule45[[#Headers],[PMT NO]])-2)+DAY(LoanStartDate),"")</f>
        <v>53418</v>
      </c>
      <c r="D346" s="32">
        <f>IF(PaymentSchedule45[[#This Row],[PMT NO]]&lt;&gt;"",IF(ROW()-ROW(PaymentSchedule45[[#Headers],[BEGINNING BALANCE]])=1,LoanAmount,INDEX(PaymentSchedule45[ENDING BALANCE],ROW()-ROW(PaymentSchedule45[[#Headers],[BEGINNING BALANCE]])-1)),"")</f>
        <v>34313.224713652664</v>
      </c>
      <c r="E346" s="32">
        <f>IF(PaymentSchedule45[[#This Row],[PMT NO]]&lt;&gt;"",ScheduledPayment,"")</f>
        <v>1294.2429434851008</v>
      </c>
      <c r="F34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4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46" s="32">
        <f>IF(PaymentSchedule45[[#This Row],[PMT NO]]&lt;&gt;"",PaymentSchedule45[[#This Row],[TOTAL PAYMENT]]-PaymentSchedule45[[#This Row],[INTEREST]],"")</f>
        <v>1014.0182749902707</v>
      </c>
      <c r="I346" s="32">
        <f>IF(PaymentSchedule45[[#This Row],[PMT NO]]&lt;&gt;"",PaymentSchedule45[[#This Row],[BEGINNING BALANCE]]*(InterestRate/PaymentsPerYear),"")</f>
        <v>280.2246684948301</v>
      </c>
      <c r="J34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33299.20643866239</v>
      </c>
      <c r="K346" s="32">
        <f>IF(PaymentSchedule45[[#This Row],[PMT NO]]&lt;&gt;"",SUM(INDEX(PaymentSchedule45[INTEREST],1,1):PaymentSchedule45[[#This Row],[INTEREST]]),"")</f>
        <v>311693.62073223066</v>
      </c>
    </row>
    <row r="347" spans="2:11" x14ac:dyDescent="0.3">
      <c r="B347" s="30">
        <f>IF(LoanIsGood,IF(ROW()-ROW(PaymentSchedule45[[#Headers],[PMT NO]])&gt;ScheduledNumberOfPayments,"",ROW()-ROW(PaymentSchedule45[[#Headers],[PMT NO]])),"")</f>
        <v>332</v>
      </c>
      <c r="C347" s="31">
        <f>IF(PaymentSchedule45[[#This Row],[PMT NO]]&lt;&gt;"",EOMONTH(LoanStartDate,ROW(PaymentSchedule45[[#This Row],[PMT NO]])-ROW(PaymentSchedule45[[#Headers],[PMT NO]])-2)+DAY(LoanStartDate),"")</f>
        <v>53448</v>
      </c>
      <c r="D347" s="32">
        <f>IF(PaymentSchedule45[[#This Row],[PMT NO]]&lt;&gt;"",IF(ROW()-ROW(PaymentSchedule45[[#Headers],[BEGINNING BALANCE]])=1,LoanAmount,INDEX(PaymentSchedule45[ENDING BALANCE],ROW()-ROW(PaymentSchedule45[[#Headers],[BEGINNING BALANCE]])-1)),"")</f>
        <v>33299.20643866239</v>
      </c>
      <c r="E347" s="32">
        <f>IF(PaymentSchedule45[[#This Row],[PMT NO]]&lt;&gt;"",ScheduledPayment,"")</f>
        <v>1294.2429434851008</v>
      </c>
      <c r="F34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4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47" s="32">
        <f>IF(PaymentSchedule45[[#This Row],[PMT NO]]&lt;&gt;"",PaymentSchedule45[[#This Row],[TOTAL PAYMENT]]-PaymentSchedule45[[#This Row],[INTEREST]],"")</f>
        <v>1022.2994242360246</v>
      </c>
      <c r="I347" s="32">
        <f>IF(PaymentSchedule45[[#This Row],[PMT NO]]&lt;&gt;"",PaymentSchedule45[[#This Row],[BEGINNING BALANCE]]*(InterestRate/PaymentsPerYear),"")</f>
        <v>271.94351924907619</v>
      </c>
      <c r="J34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32276.907014426364</v>
      </c>
      <c r="K347" s="32">
        <f>IF(PaymentSchedule45[[#This Row],[PMT NO]]&lt;&gt;"",SUM(INDEX(PaymentSchedule45[INTEREST],1,1):PaymentSchedule45[[#This Row],[INTEREST]]),"")</f>
        <v>311965.56425147975</v>
      </c>
    </row>
    <row r="348" spans="2:11" x14ac:dyDescent="0.3">
      <c r="B348" s="30">
        <f>IF(LoanIsGood,IF(ROW()-ROW(PaymentSchedule45[[#Headers],[PMT NO]])&gt;ScheduledNumberOfPayments,"",ROW()-ROW(PaymentSchedule45[[#Headers],[PMT NO]])),"")</f>
        <v>333</v>
      </c>
      <c r="C348" s="31">
        <f>IF(PaymentSchedule45[[#This Row],[PMT NO]]&lt;&gt;"",EOMONTH(LoanStartDate,ROW(PaymentSchedule45[[#This Row],[PMT NO]])-ROW(PaymentSchedule45[[#Headers],[PMT NO]])-2)+DAY(LoanStartDate),"")</f>
        <v>53479</v>
      </c>
      <c r="D348" s="32">
        <f>IF(PaymentSchedule45[[#This Row],[PMT NO]]&lt;&gt;"",IF(ROW()-ROW(PaymentSchedule45[[#Headers],[BEGINNING BALANCE]])=1,LoanAmount,INDEX(PaymentSchedule45[ENDING BALANCE],ROW()-ROW(PaymentSchedule45[[#Headers],[BEGINNING BALANCE]])-1)),"")</f>
        <v>32276.907014426364</v>
      </c>
      <c r="E348" s="32">
        <f>IF(PaymentSchedule45[[#This Row],[PMT NO]]&lt;&gt;"",ScheduledPayment,"")</f>
        <v>1294.2429434851008</v>
      </c>
      <c r="F34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4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48" s="32">
        <f>IF(PaymentSchedule45[[#This Row],[PMT NO]]&lt;&gt;"",PaymentSchedule45[[#This Row],[TOTAL PAYMENT]]-PaymentSchedule45[[#This Row],[INTEREST]],"")</f>
        <v>1030.6482028672854</v>
      </c>
      <c r="I348" s="32">
        <f>IF(PaymentSchedule45[[#This Row],[PMT NO]]&lt;&gt;"",PaymentSchedule45[[#This Row],[BEGINNING BALANCE]]*(InterestRate/PaymentsPerYear),"")</f>
        <v>263.59474061781532</v>
      </c>
      <c r="J34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31246.258811559077</v>
      </c>
      <c r="K348" s="32">
        <f>IF(PaymentSchedule45[[#This Row],[PMT NO]]&lt;&gt;"",SUM(INDEX(PaymentSchedule45[INTEREST],1,1):PaymentSchedule45[[#This Row],[INTEREST]]),"")</f>
        <v>312229.15899209754</v>
      </c>
    </row>
    <row r="349" spans="2:11" x14ac:dyDescent="0.3">
      <c r="B349" s="30">
        <f>IF(LoanIsGood,IF(ROW()-ROW(PaymentSchedule45[[#Headers],[PMT NO]])&gt;ScheduledNumberOfPayments,"",ROW()-ROW(PaymentSchedule45[[#Headers],[PMT NO]])),"")</f>
        <v>334</v>
      </c>
      <c r="C349" s="31">
        <f>IF(PaymentSchedule45[[#This Row],[PMT NO]]&lt;&gt;"",EOMONTH(LoanStartDate,ROW(PaymentSchedule45[[#This Row],[PMT NO]])-ROW(PaymentSchedule45[[#Headers],[PMT NO]])-2)+DAY(LoanStartDate),"")</f>
        <v>53509</v>
      </c>
      <c r="D349" s="32">
        <f>IF(PaymentSchedule45[[#This Row],[PMT NO]]&lt;&gt;"",IF(ROW()-ROW(PaymentSchedule45[[#Headers],[BEGINNING BALANCE]])=1,LoanAmount,INDEX(PaymentSchedule45[ENDING BALANCE],ROW()-ROW(PaymentSchedule45[[#Headers],[BEGINNING BALANCE]])-1)),"")</f>
        <v>31246.258811559077</v>
      </c>
      <c r="E349" s="32">
        <f>IF(PaymentSchedule45[[#This Row],[PMT NO]]&lt;&gt;"",ScheduledPayment,"")</f>
        <v>1294.2429434851008</v>
      </c>
      <c r="F34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4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49" s="32">
        <f>IF(PaymentSchedule45[[#This Row],[PMT NO]]&lt;&gt;"",PaymentSchedule45[[#This Row],[TOTAL PAYMENT]]-PaymentSchedule45[[#This Row],[INTEREST]],"")</f>
        <v>1039.0651631907017</v>
      </c>
      <c r="I349" s="32">
        <f>IF(PaymentSchedule45[[#This Row],[PMT NO]]&lt;&gt;"",PaymentSchedule45[[#This Row],[BEGINNING BALANCE]]*(InterestRate/PaymentsPerYear),"")</f>
        <v>255.17778029439916</v>
      </c>
      <c r="J34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30207.193648368375</v>
      </c>
      <c r="K349" s="32">
        <f>IF(PaymentSchedule45[[#This Row],[PMT NO]]&lt;&gt;"",SUM(INDEX(PaymentSchedule45[INTEREST],1,1):PaymentSchedule45[[#This Row],[INTEREST]]),"")</f>
        <v>312484.33677239192</v>
      </c>
    </row>
    <row r="350" spans="2:11" x14ac:dyDescent="0.3">
      <c r="B350" s="30">
        <f>IF(LoanIsGood,IF(ROW()-ROW(PaymentSchedule45[[#Headers],[PMT NO]])&gt;ScheduledNumberOfPayments,"",ROW()-ROW(PaymentSchedule45[[#Headers],[PMT NO]])),"")</f>
        <v>335</v>
      </c>
      <c r="C350" s="31">
        <f>IF(PaymentSchedule45[[#This Row],[PMT NO]]&lt;&gt;"",EOMONTH(LoanStartDate,ROW(PaymentSchedule45[[#This Row],[PMT NO]])-ROW(PaymentSchedule45[[#Headers],[PMT NO]])-2)+DAY(LoanStartDate),"")</f>
        <v>53540</v>
      </c>
      <c r="D350" s="32">
        <f>IF(PaymentSchedule45[[#This Row],[PMT NO]]&lt;&gt;"",IF(ROW()-ROW(PaymentSchedule45[[#Headers],[BEGINNING BALANCE]])=1,LoanAmount,INDEX(PaymentSchedule45[ENDING BALANCE],ROW()-ROW(PaymentSchedule45[[#Headers],[BEGINNING BALANCE]])-1)),"")</f>
        <v>30207.193648368375</v>
      </c>
      <c r="E350" s="32">
        <f>IF(PaymentSchedule45[[#This Row],[PMT NO]]&lt;&gt;"",ScheduledPayment,"")</f>
        <v>1294.2429434851008</v>
      </c>
      <c r="F35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5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50" s="32">
        <f>IF(PaymentSchedule45[[#This Row],[PMT NO]]&lt;&gt;"",PaymentSchedule45[[#This Row],[TOTAL PAYMENT]]-PaymentSchedule45[[#This Row],[INTEREST]],"")</f>
        <v>1047.5508620234257</v>
      </c>
      <c r="I350" s="32">
        <f>IF(PaymentSchedule45[[#This Row],[PMT NO]]&lt;&gt;"",PaymentSchedule45[[#This Row],[BEGINNING BALANCE]]*(InterestRate/PaymentsPerYear),"")</f>
        <v>246.69208146167509</v>
      </c>
      <c r="J35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29159.64278634495</v>
      </c>
      <c r="K350" s="32">
        <f>IF(PaymentSchedule45[[#This Row],[PMT NO]]&lt;&gt;"",SUM(INDEX(PaymentSchedule45[INTEREST],1,1):PaymentSchedule45[[#This Row],[INTEREST]]),"")</f>
        <v>312731.02885385358</v>
      </c>
    </row>
    <row r="351" spans="2:11" x14ac:dyDescent="0.3">
      <c r="B351" s="30">
        <f>IF(LoanIsGood,IF(ROW()-ROW(PaymentSchedule45[[#Headers],[PMT NO]])&gt;ScheduledNumberOfPayments,"",ROW()-ROW(PaymentSchedule45[[#Headers],[PMT NO]])),"")</f>
        <v>336</v>
      </c>
      <c r="C351" s="31">
        <f>IF(PaymentSchedule45[[#This Row],[PMT NO]]&lt;&gt;"",EOMONTH(LoanStartDate,ROW(PaymentSchedule45[[#This Row],[PMT NO]])-ROW(PaymentSchedule45[[#Headers],[PMT NO]])-2)+DAY(LoanStartDate),"")</f>
        <v>53571</v>
      </c>
      <c r="D351" s="32">
        <f>IF(PaymentSchedule45[[#This Row],[PMT NO]]&lt;&gt;"",IF(ROW()-ROW(PaymentSchedule45[[#Headers],[BEGINNING BALANCE]])=1,LoanAmount,INDEX(PaymentSchedule45[ENDING BALANCE],ROW()-ROW(PaymentSchedule45[[#Headers],[BEGINNING BALANCE]])-1)),"")</f>
        <v>29159.64278634495</v>
      </c>
      <c r="E351" s="32">
        <f>IF(PaymentSchedule45[[#This Row],[PMT NO]]&lt;&gt;"",ScheduledPayment,"")</f>
        <v>1294.2429434851008</v>
      </c>
      <c r="F35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5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51" s="32">
        <f>IF(PaymentSchedule45[[#This Row],[PMT NO]]&lt;&gt;"",PaymentSchedule45[[#This Row],[TOTAL PAYMENT]]-PaymentSchedule45[[#This Row],[INTEREST]],"")</f>
        <v>1056.1058607299503</v>
      </c>
      <c r="I351" s="32">
        <f>IF(PaymentSchedule45[[#This Row],[PMT NO]]&lt;&gt;"",PaymentSchedule45[[#This Row],[BEGINNING BALANCE]]*(InterestRate/PaymentsPerYear),"")</f>
        <v>238.13708275515046</v>
      </c>
      <c r="J35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28103.536925615001</v>
      </c>
      <c r="K351" s="32">
        <f>IF(PaymentSchedule45[[#This Row],[PMT NO]]&lt;&gt;"",SUM(INDEX(PaymentSchedule45[INTEREST],1,1):PaymentSchedule45[[#This Row],[INTEREST]]),"")</f>
        <v>312969.16593660874</v>
      </c>
    </row>
    <row r="352" spans="2:11" x14ac:dyDescent="0.3">
      <c r="B352" s="30">
        <f>IF(LoanIsGood,IF(ROW()-ROW(PaymentSchedule45[[#Headers],[PMT NO]])&gt;ScheduledNumberOfPayments,"",ROW()-ROW(PaymentSchedule45[[#Headers],[PMT NO]])),"")</f>
        <v>337</v>
      </c>
      <c r="C352" s="31">
        <f>IF(PaymentSchedule45[[#This Row],[PMT NO]]&lt;&gt;"",EOMONTH(LoanStartDate,ROW(PaymentSchedule45[[#This Row],[PMT NO]])-ROW(PaymentSchedule45[[#Headers],[PMT NO]])-2)+DAY(LoanStartDate),"")</f>
        <v>53601</v>
      </c>
      <c r="D352" s="32">
        <f>IF(PaymentSchedule45[[#This Row],[PMT NO]]&lt;&gt;"",IF(ROW()-ROW(PaymentSchedule45[[#Headers],[BEGINNING BALANCE]])=1,LoanAmount,INDEX(PaymentSchedule45[ENDING BALANCE],ROW()-ROW(PaymentSchedule45[[#Headers],[BEGINNING BALANCE]])-1)),"")</f>
        <v>28103.536925615001</v>
      </c>
      <c r="E352" s="32">
        <f>IF(PaymentSchedule45[[#This Row],[PMT NO]]&lt;&gt;"",ScheduledPayment,"")</f>
        <v>1294.2429434851008</v>
      </c>
      <c r="F35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5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52" s="32">
        <f>IF(PaymentSchedule45[[#This Row],[PMT NO]]&lt;&gt;"",PaymentSchedule45[[#This Row],[TOTAL PAYMENT]]-PaymentSchedule45[[#This Row],[INTEREST]],"")</f>
        <v>1064.730725259245</v>
      </c>
      <c r="I352" s="32">
        <f>IF(PaymentSchedule45[[#This Row],[PMT NO]]&lt;&gt;"",PaymentSchedule45[[#This Row],[BEGINNING BALANCE]]*(InterestRate/PaymentsPerYear),"")</f>
        <v>229.51221822585586</v>
      </c>
      <c r="J35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27038.806200355757</v>
      </c>
      <c r="K352" s="32">
        <f>IF(PaymentSchedule45[[#This Row],[PMT NO]]&lt;&gt;"",SUM(INDEX(PaymentSchedule45[INTEREST],1,1):PaymentSchedule45[[#This Row],[INTEREST]]),"")</f>
        <v>313198.6781548346</v>
      </c>
    </row>
    <row r="353" spans="2:11" x14ac:dyDescent="0.3">
      <c r="B353" s="30">
        <f>IF(LoanIsGood,IF(ROW()-ROW(PaymentSchedule45[[#Headers],[PMT NO]])&gt;ScheduledNumberOfPayments,"",ROW()-ROW(PaymentSchedule45[[#Headers],[PMT NO]])),"")</f>
        <v>338</v>
      </c>
      <c r="C353" s="31">
        <f>IF(PaymentSchedule45[[#This Row],[PMT NO]]&lt;&gt;"",EOMONTH(LoanStartDate,ROW(PaymentSchedule45[[#This Row],[PMT NO]])-ROW(PaymentSchedule45[[#Headers],[PMT NO]])-2)+DAY(LoanStartDate),"")</f>
        <v>53632</v>
      </c>
      <c r="D353" s="32">
        <f>IF(PaymentSchedule45[[#This Row],[PMT NO]]&lt;&gt;"",IF(ROW()-ROW(PaymentSchedule45[[#Headers],[BEGINNING BALANCE]])=1,LoanAmount,INDEX(PaymentSchedule45[ENDING BALANCE],ROW()-ROW(PaymentSchedule45[[#Headers],[BEGINNING BALANCE]])-1)),"")</f>
        <v>27038.806200355757</v>
      </c>
      <c r="E353" s="32">
        <f>IF(PaymentSchedule45[[#This Row],[PMT NO]]&lt;&gt;"",ScheduledPayment,"")</f>
        <v>1294.2429434851008</v>
      </c>
      <c r="F35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5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53" s="32">
        <f>IF(PaymentSchedule45[[#This Row],[PMT NO]]&lt;&gt;"",PaymentSchedule45[[#This Row],[TOTAL PAYMENT]]-PaymentSchedule45[[#This Row],[INTEREST]],"")</f>
        <v>1073.4260261821955</v>
      </c>
      <c r="I353" s="32">
        <f>IF(PaymentSchedule45[[#This Row],[PMT NO]]&lt;&gt;"",PaymentSchedule45[[#This Row],[BEGINNING BALANCE]]*(InterestRate/PaymentsPerYear),"")</f>
        <v>220.81691730290538</v>
      </c>
      <c r="J35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25965.380174173562</v>
      </c>
      <c r="K353" s="32">
        <f>IF(PaymentSchedule45[[#This Row],[PMT NO]]&lt;&gt;"",SUM(INDEX(PaymentSchedule45[INTEREST],1,1):PaymentSchedule45[[#This Row],[INTEREST]]),"")</f>
        <v>313419.49507213751</v>
      </c>
    </row>
    <row r="354" spans="2:11" x14ac:dyDescent="0.3">
      <c r="B354" s="30">
        <f>IF(LoanIsGood,IF(ROW()-ROW(PaymentSchedule45[[#Headers],[PMT NO]])&gt;ScheduledNumberOfPayments,"",ROW()-ROW(PaymentSchedule45[[#Headers],[PMT NO]])),"")</f>
        <v>339</v>
      </c>
      <c r="C354" s="31">
        <f>IF(PaymentSchedule45[[#This Row],[PMT NO]]&lt;&gt;"",EOMONTH(LoanStartDate,ROW(PaymentSchedule45[[#This Row],[PMT NO]])-ROW(PaymentSchedule45[[#Headers],[PMT NO]])-2)+DAY(LoanStartDate),"")</f>
        <v>53662</v>
      </c>
      <c r="D354" s="32">
        <f>IF(PaymentSchedule45[[#This Row],[PMT NO]]&lt;&gt;"",IF(ROW()-ROW(PaymentSchedule45[[#Headers],[BEGINNING BALANCE]])=1,LoanAmount,INDEX(PaymentSchedule45[ENDING BALANCE],ROW()-ROW(PaymentSchedule45[[#Headers],[BEGINNING BALANCE]])-1)),"")</f>
        <v>25965.380174173562</v>
      </c>
      <c r="E354" s="32">
        <f>IF(PaymentSchedule45[[#This Row],[PMT NO]]&lt;&gt;"",ScheduledPayment,"")</f>
        <v>1294.2429434851008</v>
      </c>
      <c r="F35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5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54" s="32">
        <f>IF(PaymentSchedule45[[#This Row],[PMT NO]]&lt;&gt;"",PaymentSchedule45[[#This Row],[TOTAL PAYMENT]]-PaymentSchedule45[[#This Row],[INTEREST]],"")</f>
        <v>1082.19233872935</v>
      </c>
      <c r="I354" s="32">
        <f>IF(PaymentSchedule45[[#This Row],[PMT NO]]&lt;&gt;"",PaymentSchedule45[[#This Row],[BEGINNING BALANCE]]*(InterestRate/PaymentsPerYear),"")</f>
        <v>212.05060475575078</v>
      </c>
      <c r="J35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24883.187835444212</v>
      </c>
      <c r="K354" s="32">
        <f>IF(PaymentSchedule45[[#This Row],[PMT NO]]&lt;&gt;"",SUM(INDEX(PaymentSchedule45[INTEREST],1,1):PaymentSchedule45[[#This Row],[INTEREST]]),"")</f>
        <v>313631.54567689326</v>
      </c>
    </row>
    <row r="355" spans="2:11" x14ac:dyDescent="0.3">
      <c r="B355" s="30">
        <f>IF(LoanIsGood,IF(ROW()-ROW(PaymentSchedule45[[#Headers],[PMT NO]])&gt;ScheduledNumberOfPayments,"",ROW()-ROW(PaymentSchedule45[[#Headers],[PMT NO]])),"")</f>
        <v>340</v>
      </c>
      <c r="C355" s="31">
        <f>IF(PaymentSchedule45[[#This Row],[PMT NO]]&lt;&gt;"",EOMONTH(LoanStartDate,ROW(PaymentSchedule45[[#This Row],[PMT NO]])-ROW(PaymentSchedule45[[#Headers],[PMT NO]])-2)+DAY(LoanStartDate),"")</f>
        <v>53693</v>
      </c>
      <c r="D355" s="32">
        <f>IF(PaymentSchedule45[[#This Row],[PMT NO]]&lt;&gt;"",IF(ROW()-ROW(PaymentSchedule45[[#Headers],[BEGINNING BALANCE]])=1,LoanAmount,INDEX(PaymentSchedule45[ENDING BALANCE],ROW()-ROW(PaymentSchedule45[[#Headers],[BEGINNING BALANCE]])-1)),"")</f>
        <v>24883.187835444212</v>
      </c>
      <c r="E355" s="32">
        <f>IF(PaymentSchedule45[[#This Row],[PMT NO]]&lt;&gt;"",ScheduledPayment,"")</f>
        <v>1294.2429434851008</v>
      </c>
      <c r="F35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5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55" s="32">
        <f>IF(PaymentSchedule45[[#This Row],[PMT NO]]&lt;&gt;"",PaymentSchedule45[[#This Row],[TOTAL PAYMENT]]-PaymentSchedule45[[#This Row],[INTEREST]],"")</f>
        <v>1091.0302428289731</v>
      </c>
      <c r="I355" s="32">
        <f>IF(PaymentSchedule45[[#This Row],[PMT NO]]&lt;&gt;"",PaymentSchedule45[[#This Row],[BEGINNING BALANCE]]*(InterestRate/PaymentsPerYear),"")</f>
        <v>203.21270065612777</v>
      </c>
      <c r="J35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23792.15759261524</v>
      </c>
      <c r="K355" s="32">
        <f>IF(PaymentSchedule45[[#This Row],[PMT NO]]&lt;&gt;"",SUM(INDEX(PaymentSchedule45[INTEREST],1,1):PaymentSchedule45[[#This Row],[INTEREST]]),"")</f>
        <v>313834.75837754941</v>
      </c>
    </row>
    <row r="356" spans="2:11" x14ac:dyDescent="0.3">
      <c r="B356" s="30">
        <f>IF(LoanIsGood,IF(ROW()-ROW(PaymentSchedule45[[#Headers],[PMT NO]])&gt;ScheduledNumberOfPayments,"",ROW()-ROW(PaymentSchedule45[[#Headers],[PMT NO]])),"")</f>
        <v>341</v>
      </c>
      <c r="C356" s="31">
        <f>IF(PaymentSchedule45[[#This Row],[PMT NO]]&lt;&gt;"",EOMONTH(LoanStartDate,ROW(PaymentSchedule45[[#This Row],[PMT NO]])-ROW(PaymentSchedule45[[#Headers],[PMT NO]])-2)+DAY(LoanStartDate),"")</f>
        <v>53724</v>
      </c>
      <c r="D356" s="32">
        <f>IF(PaymentSchedule45[[#This Row],[PMT NO]]&lt;&gt;"",IF(ROW()-ROW(PaymentSchedule45[[#Headers],[BEGINNING BALANCE]])=1,LoanAmount,INDEX(PaymentSchedule45[ENDING BALANCE],ROW()-ROW(PaymentSchedule45[[#Headers],[BEGINNING BALANCE]])-1)),"")</f>
        <v>23792.15759261524</v>
      </c>
      <c r="E356" s="32">
        <f>IF(PaymentSchedule45[[#This Row],[PMT NO]]&lt;&gt;"",ScheduledPayment,"")</f>
        <v>1294.2429434851008</v>
      </c>
      <c r="F35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5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56" s="32">
        <f>IF(PaymentSchedule45[[#This Row],[PMT NO]]&lt;&gt;"",PaymentSchedule45[[#This Row],[TOTAL PAYMENT]]-PaymentSchedule45[[#This Row],[INTEREST]],"")</f>
        <v>1099.9403231454096</v>
      </c>
      <c r="I356" s="32">
        <f>IF(PaymentSchedule45[[#This Row],[PMT NO]]&lt;&gt;"",PaymentSchedule45[[#This Row],[BEGINNING BALANCE]]*(InterestRate/PaymentsPerYear),"")</f>
        <v>194.30262033969115</v>
      </c>
      <c r="J35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22692.217269469831</v>
      </c>
      <c r="K356" s="32">
        <f>IF(PaymentSchedule45[[#This Row],[PMT NO]]&lt;&gt;"",SUM(INDEX(PaymentSchedule45[INTEREST],1,1):PaymentSchedule45[[#This Row],[INTEREST]]),"")</f>
        <v>314029.06099788909</v>
      </c>
    </row>
    <row r="357" spans="2:11" x14ac:dyDescent="0.3">
      <c r="B357" s="30">
        <f>IF(LoanIsGood,IF(ROW()-ROW(PaymentSchedule45[[#Headers],[PMT NO]])&gt;ScheduledNumberOfPayments,"",ROW()-ROW(PaymentSchedule45[[#Headers],[PMT NO]])),"")</f>
        <v>342</v>
      </c>
      <c r="C357" s="31">
        <f>IF(PaymentSchedule45[[#This Row],[PMT NO]]&lt;&gt;"",EOMONTH(LoanStartDate,ROW(PaymentSchedule45[[#This Row],[PMT NO]])-ROW(PaymentSchedule45[[#Headers],[PMT NO]])-2)+DAY(LoanStartDate),"")</f>
        <v>53752</v>
      </c>
      <c r="D357" s="32">
        <f>IF(PaymentSchedule45[[#This Row],[PMT NO]]&lt;&gt;"",IF(ROW()-ROW(PaymentSchedule45[[#Headers],[BEGINNING BALANCE]])=1,LoanAmount,INDEX(PaymentSchedule45[ENDING BALANCE],ROW()-ROW(PaymentSchedule45[[#Headers],[BEGINNING BALANCE]])-1)),"")</f>
        <v>22692.217269469831</v>
      </c>
      <c r="E357" s="32">
        <f>IF(PaymentSchedule45[[#This Row],[PMT NO]]&lt;&gt;"",ScheduledPayment,"")</f>
        <v>1294.2429434851008</v>
      </c>
      <c r="F35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5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57" s="32">
        <f>IF(PaymentSchedule45[[#This Row],[PMT NO]]&lt;&gt;"",PaymentSchedule45[[#This Row],[TOTAL PAYMENT]]-PaymentSchedule45[[#This Row],[INTEREST]],"")</f>
        <v>1108.9231691177638</v>
      </c>
      <c r="I357" s="32">
        <f>IF(PaymentSchedule45[[#This Row],[PMT NO]]&lt;&gt;"",PaymentSchedule45[[#This Row],[BEGINNING BALANCE]]*(InterestRate/PaymentsPerYear),"")</f>
        <v>185.31977436733698</v>
      </c>
      <c r="J35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21583.294100352068</v>
      </c>
      <c r="K357" s="32">
        <f>IF(PaymentSchedule45[[#This Row],[PMT NO]]&lt;&gt;"",SUM(INDEX(PaymentSchedule45[INTEREST],1,1):PaymentSchedule45[[#This Row],[INTEREST]]),"")</f>
        <v>314214.38077225641</v>
      </c>
    </row>
    <row r="358" spans="2:11" x14ac:dyDescent="0.3">
      <c r="B358" s="30">
        <f>IF(LoanIsGood,IF(ROW()-ROW(PaymentSchedule45[[#Headers],[PMT NO]])&gt;ScheduledNumberOfPayments,"",ROW()-ROW(PaymentSchedule45[[#Headers],[PMT NO]])),"")</f>
        <v>343</v>
      </c>
      <c r="C358" s="31">
        <f>IF(PaymentSchedule45[[#This Row],[PMT NO]]&lt;&gt;"",EOMONTH(LoanStartDate,ROW(PaymentSchedule45[[#This Row],[PMT NO]])-ROW(PaymentSchedule45[[#Headers],[PMT NO]])-2)+DAY(LoanStartDate),"")</f>
        <v>53783</v>
      </c>
      <c r="D358" s="32">
        <f>IF(PaymentSchedule45[[#This Row],[PMT NO]]&lt;&gt;"",IF(ROW()-ROW(PaymentSchedule45[[#Headers],[BEGINNING BALANCE]])=1,LoanAmount,INDEX(PaymentSchedule45[ENDING BALANCE],ROW()-ROW(PaymentSchedule45[[#Headers],[BEGINNING BALANCE]])-1)),"")</f>
        <v>21583.294100352068</v>
      </c>
      <c r="E358" s="32">
        <f>IF(PaymentSchedule45[[#This Row],[PMT NO]]&lt;&gt;"",ScheduledPayment,"")</f>
        <v>1294.2429434851008</v>
      </c>
      <c r="F35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5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58" s="32">
        <f>IF(PaymentSchedule45[[#This Row],[PMT NO]]&lt;&gt;"",PaymentSchedule45[[#This Row],[TOTAL PAYMENT]]-PaymentSchedule45[[#This Row],[INTEREST]],"")</f>
        <v>1117.9793749988921</v>
      </c>
      <c r="I358" s="32">
        <f>IF(PaymentSchedule45[[#This Row],[PMT NO]]&lt;&gt;"",PaymentSchedule45[[#This Row],[BEGINNING BALANCE]]*(InterestRate/PaymentsPerYear),"")</f>
        <v>176.26356848620858</v>
      </c>
      <c r="J35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20465.314725353175</v>
      </c>
      <c r="K358" s="32">
        <f>IF(PaymentSchedule45[[#This Row],[PMT NO]]&lt;&gt;"",SUM(INDEX(PaymentSchedule45[INTEREST],1,1):PaymentSchedule45[[#This Row],[INTEREST]]),"")</f>
        <v>314390.64434074261</v>
      </c>
    </row>
    <row r="359" spans="2:11" x14ac:dyDescent="0.3">
      <c r="B359" s="30">
        <f>IF(LoanIsGood,IF(ROW()-ROW(PaymentSchedule45[[#Headers],[PMT NO]])&gt;ScheduledNumberOfPayments,"",ROW()-ROW(PaymentSchedule45[[#Headers],[PMT NO]])),"")</f>
        <v>344</v>
      </c>
      <c r="C359" s="31">
        <f>IF(PaymentSchedule45[[#This Row],[PMT NO]]&lt;&gt;"",EOMONTH(LoanStartDate,ROW(PaymentSchedule45[[#This Row],[PMT NO]])-ROW(PaymentSchedule45[[#Headers],[PMT NO]])-2)+DAY(LoanStartDate),"")</f>
        <v>53813</v>
      </c>
      <c r="D359" s="32">
        <f>IF(PaymentSchedule45[[#This Row],[PMT NO]]&lt;&gt;"",IF(ROW()-ROW(PaymentSchedule45[[#Headers],[BEGINNING BALANCE]])=1,LoanAmount,INDEX(PaymentSchedule45[ENDING BALANCE],ROW()-ROW(PaymentSchedule45[[#Headers],[BEGINNING BALANCE]])-1)),"")</f>
        <v>20465.314725353175</v>
      </c>
      <c r="E359" s="32">
        <f>IF(PaymentSchedule45[[#This Row],[PMT NO]]&lt;&gt;"",ScheduledPayment,"")</f>
        <v>1294.2429434851008</v>
      </c>
      <c r="F35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5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59" s="32">
        <f>IF(PaymentSchedule45[[#This Row],[PMT NO]]&lt;&gt;"",PaymentSchedule45[[#This Row],[TOTAL PAYMENT]]-PaymentSchedule45[[#This Row],[INTEREST]],"")</f>
        <v>1127.1095398947166</v>
      </c>
      <c r="I359" s="32">
        <f>IF(PaymentSchedule45[[#This Row],[PMT NO]]&lt;&gt;"",PaymentSchedule45[[#This Row],[BEGINNING BALANCE]]*(InterestRate/PaymentsPerYear),"")</f>
        <v>167.13340359038429</v>
      </c>
      <c r="J35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19338.205185458457</v>
      </c>
      <c r="K359" s="32">
        <f>IF(PaymentSchedule45[[#This Row],[PMT NO]]&lt;&gt;"",SUM(INDEX(PaymentSchedule45[INTEREST],1,1):PaymentSchedule45[[#This Row],[INTEREST]]),"")</f>
        <v>314557.77774433297</v>
      </c>
    </row>
    <row r="360" spans="2:11" x14ac:dyDescent="0.3">
      <c r="B360" s="30">
        <f>IF(LoanIsGood,IF(ROW()-ROW(PaymentSchedule45[[#Headers],[PMT NO]])&gt;ScheduledNumberOfPayments,"",ROW()-ROW(PaymentSchedule45[[#Headers],[PMT NO]])),"")</f>
        <v>345</v>
      </c>
      <c r="C360" s="31">
        <f>IF(PaymentSchedule45[[#This Row],[PMT NO]]&lt;&gt;"",EOMONTH(LoanStartDate,ROW(PaymentSchedule45[[#This Row],[PMT NO]])-ROW(PaymentSchedule45[[#Headers],[PMT NO]])-2)+DAY(LoanStartDate),"")</f>
        <v>53844</v>
      </c>
      <c r="D360" s="32">
        <f>IF(PaymentSchedule45[[#This Row],[PMT NO]]&lt;&gt;"",IF(ROW()-ROW(PaymentSchedule45[[#Headers],[BEGINNING BALANCE]])=1,LoanAmount,INDEX(PaymentSchedule45[ENDING BALANCE],ROW()-ROW(PaymentSchedule45[[#Headers],[BEGINNING BALANCE]])-1)),"")</f>
        <v>19338.205185458457</v>
      </c>
      <c r="E360" s="32">
        <f>IF(PaymentSchedule45[[#This Row],[PMT NO]]&lt;&gt;"",ScheduledPayment,"")</f>
        <v>1294.2429434851008</v>
      </c>
      <c r="F36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6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60" s="32">
        <f>IF(PaymentSchedule45[[#This Row],[PMT NO]]&lt;&gt;"",PaymentSchedule45[[#This Row],[TOTAL PAYMENT]]-PaymentSchedule45[[#This Row],[INTEREST]],"")</f>
        <v>1136.3142678038566</v>
      </c>
      <c r="I360" s="32">
        <f>IF(PaymentSchedule45[[#This Row],[PMT NO]]&lt;&gt;"",PaymentSchedule45[[#This Row],[BEGINNING BALANCE]]*(InterestRate/PaymentsPerYear),"")</f>
        <v>157.92867568124407</v>
      </c>
      <c r="J36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18201.8909176546</v>
      </c>
      <c r="K360" s="32">
        <f>IF(PaymentSchedule45[[#This Row],[PMT NO]]&lt;&gt;"",SUM(INDEX(PaymentSchedule45[INTEREST],1,1):PaymentSchedule45[[#This Row],[INTEREST]]),"")</f>
        <v>314715.7064200142</v>
      </c>
    </row>
    <row r="361" spans="2:11" x14ac:dyDescent="0.3">
      <c r="B361" s="30">
        <f>IF(LoanIsGood,IF(ROW()-ROW(PaymentSchedule45[[#Headers],[PMT NO]])&gt;ScheduledNumberOfPayments,"",ROW()-ROW(PaymentSchedule45[[#Headers],[PMT NO]])),"")</f>
        <v>346</v>
      </c>
      <c r="C361" s="31">
        <f>IF(PaymentSchedule45[[#This Row],[PMT NO]]&lt;&gt;"",EOMONTH(LoanStartDate,ROW(PaymentSchedule45[[#This Row],[PMT NO]])-ROW(PaymentSchedule45[[#Headers],[PMT NO]])-2)+DAY(LoanStartDate),"")</f>
        <v>53874</v>
      </c>
      <c r="D361" s="32">
        <f>IF(PaymentSchedule45[[#This Row],[PMT NO]]&lt;&gt;"",IF(ROW()-ROW(PaymentSchedule45[[#Headers],[BEGINNING BALANCE]])=1,LoanAmount,INDEX(PaymentSchedule45[ENDING BALANCE],ROW()-ROW(PaymentSchedule45[[#Headers],[BEGINNING BALANCE]])-1)),"")</f>
        <v>18201.8909176546</v>
      </c>
      <c r="E361" s="32">
        <f>IF(PaymentSchedule45[[#This Row],[PMT NO]]&lt;&gt;"",ScheduledPayment,"")</f>
        <v>1294.2429434851008</v>
      </c>
      <c r="F36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6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61" s="32">
        <f>IF(PaymentSchedule45[[#This Row],[PMT NO]]&lt;&gt;"",PaymentSchedule45[[#This Row],[TOTAL PAYMENT]]-PaymentSchedule45[[#This Row],[INTEREST]],"")</f>
        <v>1145.5941676575883</v>
      </c>
      <c r="I361" s="32">
        <f>IF(PaymentSchedule45[[#This Row],[PMT NO]]&lt;&gt;"",PaymentSchedule45[[#This Row],[BEGINNING BALANCE]]*(InterestRate/PaymentsPerYear),"")</f>
        <v>148.64877582751259</v>
      </c>
      <c r="J36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17056.296749997011</v>
      </c>
      <c r="K361" s="32">
        <f>IF(PaymentSchedule45[[#This Row],[PMT NO]]&lt;&gt;"",SUM(INDEX(PaymentSchedule45[INTEREST],1,1):PaymentSchedule45[[#This Row],[INTEREST]]),"")</f>
        <v>314864.35519584169</v>
      </c>
    </row>
    <row r="362" spans="2:11" x14ac:dyDescent="0.3">
      <c r="B362" s="30">
        <f>IF(LoanIsGood,IF(ROW()-ROW(PaymentSchedule45[[#Headers],[PMT NO]])&gt;ScheduledNumberOfPayments,"",ROW()-ROW(PaymentSchedule45[[#Headers],[PMT NO]])),"")</f>
        <v>347</v>
      </c>
      <c r="C362" s="31">
        <f>IF(PaymentSchedule45[[#This Row],[PMT NO]]&lt;&gt;"",EOMONTH(LoanStartDate,ROW(PaymentSchedule45[[#This Row],[PMT NO]])-ROW(PaymentSchedule45[[#Headers],[PMT NO]])-2)+DAY(LoanStartDate),"")</f>
        <v>53905</v>
      </c>
      <c r="D362" s="32">
        <f>IF(PaymentSchedule45[[#This Row],[PMT NO]]&lt;&gt;"",IF(ROW()-ROW(PaymentSchedule45[[#Headers],[BEGINNING BALANCE]])=1,LoanAmount,INDEX(PaymentSchedule45[ENDING BALANCE],ROW()-ROW(PaymentSchedule45[[#Headers],[BEGINNING BALANCE]])-1)),"")</f>
        <v>17056.296749997011</v>
      </c>
      <c r="E362" s="32">
        <f>IF(PaymentSchedule45[[#This Row],[PMT NO]]&lt;&gt;"",ScheduledPayment,"")</f>
        <v>1294.2429434851008</v>
      </c>
      <c r="F36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6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62" s="32">
        <f>IF(PaymentSchedule45[[#This Row],[PMT NO]]&lt;&gt;"",PaymentSchedule45[[#This Row],[TOTAL PAYMENT]]-PaymentSchedule45[[#This Row],[INTEREST]],"")</f>
        <v>1154.9498533601252</v>
      </c>
      <c r="I362" s="32">
        <f>IF(PaymentSchedule45[[#This Row],[PMT NO]]&lt;&gt;"",PaymentSchedule45[[#This Row],[BEGINNING BALANCE]]*(InterestRate/PaymentsPerYear),"")</f>
        <v>139.29309012497561</v>
      </c>
      <c r="J36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15901.346896636886</v>
      </c>
      <c r="K362" s="32">
        <f>IF(PaymentSchedule45[[#This Row],[PMT NO]]&lt;&gt;"",SUM(INDEX(PaymentSchedule45[INTEREST],1,1):PaymentSchedule45[[#This Row],[INTEREST]]),"")</f>
        <v>315003.64828596666</v>
      </c>
    </row>
    <row r="363" spans="2:11" x14ac:dyDescent="0.3">
      <c r="B363" s="30">
        <f>IF(LoanIsGood,IF(ROW()-ROW(PaymentSchedule45[[#Headers],[PMT NO]])&gt;ScheduledNumberOfPayments,"",ROW()-ROW(PaymentSchedule45[[#Headers],[PMT NO]])),"")</f>
        <v>348</v>
      </c>
      <c r="C363" s="31">
        <f>IF(PaymentSchedule45[[#This Row],[PMT NO]]&lt;&gt;"",EOMONTH(LoanStartDate,ROW(PaymentSchedule45[[#This Row],[PMT NO]])-ROW(PaymentSchedule45[[#Headers],[PMT NO]])-2)+DAY(LoanStartDate),"")</f>
        <v>53936</v>
      </c>
      <c r="D363" s="32">
        <f>IF(PaymentSchedule45[[#This Row],[PMT NO]]&lt;&gt;"",IF(ROW()-ROW(PaymentSchedule45[[#Headers],[BEGINNING BALANCE]])=1,LoanAmount,INDEX(PaymentSchedule45[ENDING BALANCE],ROW()-ROW(PaymentSchedule45[[#Headers],[BEGINNING BALANCE]])-1)),"")</f>
        <v>15901.346896636886</v>
      </c>
      <c r="E363" s="32">
        <f>IF(PaymentSchedule45[[#This Row],[PMT NO]]&lt;&gt;"",ScheduledPayment,"")</f>
        <v>1294.2429434851008</v>
      </c>
      <c r="F36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6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63" s="32">
        <f>IF(PaymentSchedule45[[#This Row],[PMT NO]]&lt;&gt;"",PaymentSchedule45[[#This Row],[TOTAL PAYMENT]]-PaymentSchedule45[[#This Row],[INTEREST]],"")</f>
        <v>1164.3819438292328</v>
      </c>
      <c r="I363" s="32">
        <f>IF(PaymentSchedule45[[#This Row],[PMT NO]]&lt;&gt;"",PaymentSchedule45[[#This Row],[BEGINNING BALANCE]]*(InterestRate/PaymentsPerYear),"")</f>
        <v>129.86099965586791</v>
      </c>
      <c r="J36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14736.964952807653</v>
      </c>
      <c r="K363" s="32">
        <f>IF(PaymentSchedule45[[#This Row],[PMT NO]]&lt;&gt;"",SUM(INDEX(PaymentSchedule45[INTEREST],1,1):PaymentSchedule45[[#This Row],[INTEREST]]),"")</f>
        <v>315133.50928562251</v>
      </c>
    </row>
    <row r="364" spans="2:11" x14ac:dyDescent="0.3">
      <c r="B364" s="30">
        <f>IF(LoanIsGood,IF(ROW()-ROW(PaymentSchedule45[[#Headers],[PMT NO]])&gt;ScheduledNumberOfPayments,"",ROW()-ROW(PaymentSchedule45[[#Headers],[PMT NO]])),"")</f>
        <v>349</v>
      </c>
      <c r="C364" s="31">
        <f>IF(PaymentSchedule45[[#This Row],[PMT NO]]&lt;&gt;"",EOMONTH(LoanStartDate,ROW(PaymentSchedule45[[#This Row],[PMT NO]])-ROW(PaymentSchedule45[[#Headers],[PMT NO]])-2)+DAY(LoanStartDate),"")</f>
        <v>53966</v>
      </c>
      <c r="D364" s="32">
        <f>IF(PaymentSchedule45[[#This Row],[PMT NO]]&lt;&gt;"",IF(ROW()-ROW(PaymentSchedule45[[#Headers],[BEGINNING BALANCE]])=1,LoanAmount,INDEX(PaymentSchedule45[ENDING BALANCE],ROW()-ROW(PaymentSchedule45[[#Headers],[BEGINNING BALANCE]])-1)),"")</f>
        <v>14736.964952807653</v>
      </c>
      <c r="E364" s="32">
        <f>IF(PaymentSchedule45[[#This Row],[PMT NO]]&lt;&gt;"",ScheduledPayment,"")</f>
        <v>1294.2429434851008</v>
      </c>
      <c r="F36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6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64" s="32">
        <f>IF(PaymentSchedule45[[#This Row],[PMT NO]]&lt;&gt;"",PaymentSchedule45[[#This Row],[TOTAL PAYMENT]]-PaymentSchedule45[[#This Row],[INTEREST]],"")</f>
        <v>1173.8910630371715</v>
      </c>
      <c r="I364" s="32">
        <f>IF(PaymentSchedule45[[#This Row],[PMT NO]]&lt;&gt;"",PaymentSchedule45[[#This Row],[BEGINNING BALANCE]]*(InterestRate/PaymentsPerYear),"")</f>
        <v>120.35188044792918</v>
      </c>
      <c r="J36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13563.073889770481</v>
      </c>
      <c r="K364" s="32">
        <f>IF(PaymentSchedule45[[#This Row],[PMT NO]]&lt;&gt;"",SUM(INDEX(PaymentSchedule45[INTEREST],1,1):PaymentSchedule45[[#This Row],[INTEREST]]),"")</f>
        <v>315253.86116607045</v>
      </c>
    </row>
    <row r="365" spans="2:11" x14ac:dyDescent="0.3">
      <c r="B365" s="30">
        <f>IF(LoanIsGood,IF(ROW()-ROW(PaymentSchedule45[[#Headers],[PMT NO]])&gt;ScheduledNumberOfPayments,"",ROW()-ROW(PaymentSchedule45[[#Headers],[PMT NO]])),"")</f>
        <v>350</v>
      </c>
      <c r="C365" s="31">
        <f>IF(PaymentSchedule45[[#This Row],[PMT NO]]&lt;&gt;"",EOMONTH(LoanStartDate,ROW(PaymentSchedule45[[#This Row],[PMT NO]])-ROW(PaymentSchedule45[[#Headers],[PMT NO]])-2)+DAY(LoanStartDate),"")</f>
        <v>53997</v>
      </c>
      <c r="D365" s="32">
        <f>IF(PaymentSchedule45[[#This Row],[PMT NO]]&lt;&gt;"",IF(ROW()-ROW(PaymentSchedule45[[#Headers],[BEGINNING BALANCE]])=1,LoanAmount,INDEX(PaymentSchedule45[ENDING BALANCE],ROW()-ROW(PaymentSchedule45[[#Headers],[BEGINNING BALANCE]])-1)),"")</f>
        <v>13563.073889770481</v>
      </c>
      <c r="E365" s="32">
        <f>IF(PaymentSchedule45[[#This Row],[PMT NO]]&lt;&gt;"",ScheduledPayment,"")</f>
        <v>1294.2429434851008</v>
      </c>
      <c r="F36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6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65" s="32">
        <f>IF(PaymentSchedule45[[#This Row],[PMT NO]]&lt;&gt;"",PaymentSchedule45[[#This Row],[TOTAL PAYMENT]]-PaymentSchedule45[[#This Row],[INTEREST]],"")</f>
        <v>1183.4778400519751</v>
      </c>
      <c r="I365" s="32">
        <f>IF(PaymentSchedule45[[#This Row],[PMT NO]]&lt;&gt;"",PaymentSchedule45[[#This Row],[BEGINNING BALANCE]]*(InterestRate/PaymentsPerYear),"")</f>
        <v>110.76510343312562</v>
      </c>
      <c r="J36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12379.596049718506</v>
      </c>
      <c r="K365" s="32">
        <f>IF(PaymentSchedule45[[#This Row],[PMT NO]]&lt;&gt;"",SUM(INDEX(PaymentSchedule45[INTEREST],1,1):PaymentSchedule45[[#This Row],[INTEREST]]),"")</f>
        <v>315364.62626950355</v>
      </c>
    </row>
    <row r="366" spans="2:11" x14ac:dyDescent="0.3">
      <c r="B366" s="30">
        <f>IF(LoanIsGood,IF(ROW()-ROW(PaymentSchedule45[[#Headers],[PMT NO]])&gt;ScheduledNumberOfPayments,"",ROW()-ROW(PaymentSchedule45[[#Headers],[PMT NO]])),"")</f>
        <v>351</v>
      </c>
      <c r="C366" s="31">
        <f>IF(PaymentSchedule45[[#This Row],[PMT NO]]&lt;&gt;"",EOMONTH(LoanStartDate,ROW(PaymentSchedule45[[#This Row],[PMT NO]])-ROW(PaymentSchedule45[[#Headers],[PMT NO]])-2)+DAY(LoanStartDate),"")</f>
        <v>54027</v>
      </c>
      <c r="D366" s="32">
        <f>IF(PaymentSchedule45[[#This Row],[PMT NO]]&lt;&gt;"",IF(ROW()-ROW(PaymentSchedule45[[#Headers],[BEGINNING BALANCE]])=1,LoanAmount,INDEX(PaymentSchedule45[ENDING BALANCE],ROW()-ROW(PaymentSchedule45[[#Headers],[BEGINNING BALANCE]])-1)),"")</f>
        <v>12379.596049718506</v>
      </c>
      <c r="E366" s="32">
        <f>IF(PaymentSchedule45[[#This Row],[PMT NO]]&lt;&gt;"",ScheduledPayment,"")</f>
        <v>1294.2429434851008</v>
      </c>
      <c r="F366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66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66" s="32">
        <f>IF(PaymentSchedule45[[#This Row],[PMT NO]]&lt;&gt;"",PaymentSchedule45[[#This Row],[TOTAL PAYMENT]]-PaymentSchedule45[[#This Row],[INTEREST]],"")</f>
        <v>1193.1429090790664</v>
      </c>
      <c r="I366" s="32">
        <f>IF(PaymentSchedule45[[#This Row],[PMT NO]]&lt;&gt;"",PaymentSchedule45[[#This Row],[BEGINNING BALANCE]]*(InterestRate/PaymentsPerYear),"")</f>
        <v>101.10003440603448</v>
      </c>
      <c r="J366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11186.45314063944</v>
      </c>
      <c r="K366" s="32">
        <f>IF(PaymentSchedule45[[#This Row],[PMT NO]]&lt;&gt;"",SUM(INDEX(PaymentSchedule45[INTEREST],1,1):PaymentSchedule45[[#This Row],[INTEREST]]),"")</f>
        <v>315465.72630390961</v>
      </c>
    </row>
    <row r="367" spans="2:11" x14ac:dyDescent="0.3">
      <c r="B367" s="30">
        <f>IF(LoanIsGood,IF(ROW()-ROW(PaymentSchedule45[[#Headers],[PMT NO]])&gt;ScheduledNumberOfPayments,"",ROW()-ROW(PaymentSchedule45[[#Headers],[PMT NO]])),"")</f>
        <v>352</v>
      </c>
      <c r="C367" s="31">
        <f>IF(PaymentSchedule45[[#This Row],[PMT NO]]&lt;&gt;"",EOMONTH(LoanStartDate,ROW(PaymentSchedule45[[#This Row],[PMT NO]])-ROW(PaymentSchedule45[[#Headers],[PMT NO]])-2)+DAY(LoanStartDate),"")</f>
        <v>54058</v>
      </c>
      <c r="D367" s="32">
        <f>IF(PaymentSchedule45[[#This Row],[PMT NO]]&lt;&gt;"",IF(ROW()-ROW(PaymentSchedule45[[#Headers],[BEGINNING BALANCE]])=1,LoanAmount,INDEX(PaymentSchedule45[ENDING BALANCE],ROW()-ROW(PaymentSchedule45[[#Headers],[BEGINNING BALANCE]])-1)),"")</f>
        <v>11186.45314063944</v>
      </c>
      <c r="E367" s="32">
        <f>IF(PaymentSchedule45[[#This Row],[PMT NO]]&lt;&gt;"",ScheduledPayment,"")</f>
        <v>1294.2429434851008</v>
      </c>
      <c r="F367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67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67" s="32">
        <f>IF(PaymentSchedule45[[#This Row],[PMT NO]]&lt;&gt;"",PaymentSchedule45[[#This Row],[TOTAL PAYMENT]]-PaymentSchedule45[[#This Row],[INTEREST]],"")</f>
        <v>1202.8869095032121</v>
      </c>
      <c r="I367" s="32">
        <f>IF(PaymentSchedule45[[#This Row],[PMT NO]]&lt;&gt;"",PaymentSchedule45[[#This Row],[BEGINNING BALANCE]]*(InterestRate/PaymentsPerYear),"")</f>
        <v>91.356033981888771</v>
      </c>
      <c r="J367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9983.5662311362285</v>
      </c>
      <c r="K367" s="32">
        <f>IF(PaymentSchedule45[[#This Row],[PMT NO]]&lt;&gt;"",SUM(INDEX(PaymentSchedule45[INTEREST],1,1):PaymentSchedule45[[#This Row],[INTEREST]]),"")</f>
        <v>315557.08233789151</v>
      </c>
    </row>
    <row r="368" spans="2:11" x14ac:dyDescent="0.3">
      <c r="B368" s="30">
        <f>IF(LoanIsGood,IF(ROW()-ROW(PaymentSchedule45[[#Headers],[PMT NO]])&gt;ScheduledNumberOfPayments,"",ROW()-ROW(PaymentSchedule45[[#Headers],[PMT NO]])),"")</f>
        <v>353</v>
      </c>
      <c r="C368" s="31">
        <f>IF(PaymentSchedule45[[#This Row],[PMT NO]]&lt;&gt;"",EOMONTH(LoanStartDate,ROW(PaymentSchedule45[[#This Row],[PMT NO]])-ROW(PaymentSchedule45[[#Headers],[PMT NO]])-2)+DAY(LoanStartDate),"")</f>
        <v>54089</v>
      </c>
      <c r="D368" s="32">
        <f>IF(PaymentSchedule45[[#This Row],[PMT NO]]&lt;&gt;"",IF(ROW()-ROW(PaymentSchedule45[[#Headers],[BEGINNING BALANCE]])=1,LoanAmount,INDEX(PaymentSchedule45[ENDING BALANCE],ROW()-ROW(PaymentSchedule45[[#Headers],[BEGINNING BALANCE]])-1)),"")</f>
        <v>9983.5662311362285</v>
      </c>
      <c r="E368" s="32">
        <f>IF(PaymentSchedule45[[#This Row],[PMT NO]]&lt;&gt;"",ScheduledPayment,"")</f>
        <v>1294.2429434851008</v>
      </c>
      <c r="F368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68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68" s="32">
        <f>IF(PaymentSchedule45[[#This Row],[PMT NO]]&lt;&gt;"",PaymentSchedule45[[#This Row],[TOTAL PAYMENT]]-PaymentSchedule45[[#This Row],[INTEREST]],"")</f>
        <v>1212.7104859308215</v>
      </c>
      <c r="I368" s="32">
        <f>IF(PaymentSchedule45[[#This Row],[PMT NO]]&lt;&gt;"",PaymentSchedule45[[#This Row],[BEGINNING BALANCE]]*(InterestRate/PaymentsPerYear),"")</f>
        <v>81.532457554279205</v>
      </c>
      <c r="J368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8770.8557452054065</v>
      </c>
      <c r="K368" s="32">
        <f>IF(PaymentSchedule45[[#This Row],[PMT NO]]&lt;&gt;"",SUM(INDEX(PaymentSchedule45[INTEREST],1,1):PaymentSchedule45[[#This Row],[INTEREST]]),"")</f>
        <v>315638.61479544581</v>
      </c>
    </row>
    <row r="369" spans="2:11" x14ac:dyDescent="0.3">
      <c r="B369" s="30">
        <f>IF(LoanIsGood,IF(ROW()-ROW(PaymentSchedule45[[#Headers],[PMT NO]])&gt;ScheduledNumberOfPayments,"",ROW()-ROW(PaymentSchedule45[[#Headers],[PMT NO]])),"")</f>
        <v>354</v>
      </c>
      <c r="C369" s="31">
        <f>IF(PaymentSchedule45[[#This Row],[PMT NO]]&lt;&gt;"",EOMONTH(LoanStartDate,ROW(PaymentSchedule45[[#This Row],[PMT NO]])-ROW(PaymentSchedule45[[#Headers],[PMT NO]])-2)+DAY(LoanStartDate),"")</f>
        <v>54118</v>
      </c>
      <c r="D369" s="32">
        <f>IF(PaymentSchedule45[[#This Row],[PMT NO]]&lt;&gt;"",IF(ROW()-ROW(PaymentSchedule45[[#Headers],[BEGINNING BALANCE]])=1,LoanAmount,INDEX(PaymentSchedule45[ENDING BALANCE],ROW()-ROW(PaymentSchedule45[[#Headers],[BEGINNING BALANCE]])-1)),"")</f>
        <v>8770.8557452054065</v>
      </c>
      <c r="E369" s="32">
        <f>IF(PaymentSchedule45[[#This Row],[PMT NO]]&lt;&gt;"",ScheduledPayment,"")</f>
        <v>1294.2429434851008</v>
      </c>
      <c r="F369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69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69" s="32">
        <f>IF(PaymentSchedule45[[#This Row],[PMT NO]]&lt;&gt;"",PaymentSchedule45[[#This Row],[TOTAL PAYMENT]]-PaymentSchedule45[[#This Row],[INTEREST]],"")</f>
        <v>1222.6142882325901</v>
      </c>
      <c r="I369" s="32">
        <f>IF(PaymentSchedule45[[#This Row],[PMT NO]]&lt;&gt;"",PaymentSchedule45[[#This Row],[BEGINNING BALANCE]]*(InterestRate/PaymentsPerYear),"")</f>
        <v>71.628655252510825</v>
      </c>
      <c r="J369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7548.2414569728162</v>
      </c>
      <c r="K369" s="32">
        <f>IF(PaymentSchedule45[[#This Row],[PMT NO]]&lt;&gt;"",SUM(INDEX(PaymentSchedule45[INTEREST],1,1):PaymentSchedule45[[#This Row],[INTEREST]]),"")</f>
        <v>315710.24345069833</v>
      </c>
    </row>
    <row r="370" spans="2:11" x14ac:dyDescent="0.3">
      <c r="B370" s="30">
        <f>IF(LoanIsGood,IF(ROW()-ROW(PaymentSchedule45[[#Headers],[PMT NO]])&gt;ScheduledNumberOfPayments,"",ROW()-ROW(PaymentSchedule45[[#Headers],[PMT NO]])),"")</f>
        <v>355</v>
      </c>
      <c r="C370" s="31">
        <f>IF(PaymentSchedule45[[#This Row],[PMT NO]]&lt;&gt;"",EOMONTH(LoanStartDate,ROW(PaymentSchedule45[[#This Row],[PMT NO]])-ROW(PaymentSchedule45[[#Headers],[PMT NO]])-2)+DAY(LoanStartDate),"")</f>
        <v>54149</v>
      </c>
      <c r="D370" s="32">
        <f>IF(PaymentSchedule45[[#This Row],[PMT NO]]&lt;&gt;"",IF(ROW()-ROW(PaymentSchedule45[[#Headers],[BEGINNING BALANCE]])=1,LoanAmount,INDEX(PaymentSchedule45[ENDING BALANCE],ROW()-ROW(PaymentSchedule45[[#Headers],[BEGINNING BALANCE]])-1)),"")</f>
        <v>7548.2414569728162</v>
      </c>
      <c r="E370" s="32">
        <f>IF(PaymentSchedule45[[#This Row],[PMT NO]]&lt;&gt;"",ScheduledPayment,"")</f>
        <v>1294.2429434851008</v>
      </c>
      <c r="F370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70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70" s="32">
        <f>IF(PaymentSchedule45[[#This Row],[PMT NO]]&lt;&gt;"",PaymentSchedule45[[#This Row],[TOTAL PAYMENT]]-PaymentSchedule45[[#This Row],[INTEREST]],"")</f>
        <v>1232.5989715864894</v>
      </c>
      <c r="I370" s="32">
        <f>IF(PaymentSchedule45[[#This Row],[PMT NO]]&lt;&gt;"",PaymentSchedule45[[#This Row],[BEGINNING BALANCE]]*(InterestRate/PaymentsPerYear),"")</f>
        <v>61.643971898611341</v>
      </c>
      <c r="J370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6315.6424853863264</v>
      </c>
      <c r="K370" s="32">
        <f>IF(PaymentSchedule45[[#This Row],[PMT NO]]&lt;&gt;"",SUM(INDEX(PaymentSchedule45[INTEREST],1,1):PaymentSchedule45[[#This Row],[INTEREST]]),"")</f>
        <v>315771.88742259692</v>
      </c>
    </row>
    <row r="371" spans="2:11" x14ac:dyDescent="0.3">
      <c r="B371" s="30">
        <f>IF(LoanIsGood,IF(ROW()-ROW(PaymentSchedule45[[#Headers],[PMT NO]])&gt;ScheduledNumberOfPayments,"",ROW()-ROW(PaymentSchedule45[[#Headers],[PMT NO]])),"")</f>
        <v>356</v>
      </c>
      <c r="C371" s="31">
        <f>IF(PaymentSchedule45[[#This Row],[PMT NO]]&lt;&gt;"",EOMONTH(LoanStartDate,ROW(PaymentSchedule45[[#This Row],[PMT NO]])-ROW(PaymentSchedule45[[#Headers],[PMT NO]])-2)+DAY(LoanStartDate),"")</f>
        <v>54179</v>
      </c>
      <c r="D371" s="32">
        <f>IF(PaymentSchedule45[[#This Row],[PMT NO]]&lt;&gt;"",IF(ROW()-ROW(PaymentSchedule45[[#Headers],[BEGINNING BALANCE]])=1,LoanAmount,INDEX(PaymentSchedule45[ENDING BALANCE],ROW()-ROW(PaymentSchedule45[[#Headers],[BEGINNING BALANCE]])-1)),"")</f>
        <v>6315.6424853863264</v>
      </c>
      <c r="E371" s="32">
        <f>IF(PaymentSchedule45[[#This Row],[PMT NO]]&lt;&gt;"",ScheduledPayment,"")</f>
        <v>1294.2429434851008</v>
      </c>
      <c r="F371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71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71" s="32">
        <f>IF(PaymentSchedule45[[#This Row],[PMT NO]]&lt;&gt;"",PaymentSchedule45[[#This Row],[TOTAL PAYMENT]]-PaymentSchedule45[[#This Row],[INTEREST]],"")</f>
        <v>1242.6651965211124</v>
      </c>
      <c r="I371" s="32">
        <f>IF(PaymentSchedule45[[#This Row],[PMT NO]]&lt;&gt;"",PaymentSchedule45[[#This Row],[BEGINNING BALANCE]]*(InterestRate/PaymentsPerYear),"")</f>
        <v>51.577746963988339</v>
      </c>
      <c r="J371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5072.9772888652142</v>
      </c>
      <c r="K371" s="32">
        <f>IF(PaymentSchedule45[[#This Row],[PMT NO]]&lt;&gt;"",SUM(INDEX(PaymentSchedule45[INTEREST],1,1):PaymentSchedule45[[#This Row],[INTEREST]]),"")</f>
        <v>315823.46516956092</v>
      </c>
    </row>
    <row r="372" spans="2:11" x14ac:dyDescent="0.3">
      <c r="B372" s="30">
        <f>IF(LoanIsGood,IF(ROW()-ROW(PaymentSchedule45[[#Headers],[PMT NO]])&gt;ScheduledNumberOfPayments,"",ROW()-ROW(PaymentSchedule45[[#Headers],[PMT NO]])),"")</f>
        <v>357</v>
      </c>
      <c r="C372" s="31">
        <f>IF(PaymentSchedule45[[#This Row],[PMT NO]]&lt;&gt;"",EOMONTH(LoanStartDate,ROW(PaymentSchedule45[[#This Row],[PMT NO]])-ROW(PaymentSchedule45[[#Headers],[PMT NO]])-2)+DAY(LoanStartDate),"")</f>
        <v>54210</v>
      </c>
      <c r="D372" s="32">
        <f>IF(PaymentSchedule45[[#This Row],[PMT NO]]&lt;&gt;"",IF(ROW()-ROW(PaymentSchedule45[[#Headers],[BEGINNING BALANCE]])=1,LoanAmount,INDEX(PaymentSchedule45[ENDING BALANCE],ROW()-ROW(PaymentSchedule45[[#Headers],[BEGINNING BALANCE]])-1)),"")</f>
        <v>5072.9772888652142</v>
      </c>
      <c r="E372" s="32">
        <f>IF(PaymentSchedule45[[#This Row],[PMT NO]]&lt;&gt;"",ScheduledPayment,"")</f>
        <v>1294.2429434851008</v>
      </c>
      <c r="F372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72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72" s="32">
        <f>IF(PaymentSchedule45[[#This Row],[PMT NO]]&lt;&gt;"",PaymentSchedule45[[#This Row],[TOTAL PAYMENT]]-PaymentSchedule45[[#This Row],[INTEREST]],"")</f>
        <v>1252.8136289593683</v>
      </c>
      <c r="I372" s="32">
        <f>IF(PaymentSchedule45[[#This Row],[PMT NO]]&lt;&gt;"",PaymentSchedule45[[#This Row],[BEGINNING BALANCE]]*(InterestRate/PaymentsPerYear),"")</f>
        <v>41.429314525732586</v>
      </c>
      <c r="J372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3820.1636599058456</v>
      </c>
      <c r="K372" s="32">
        <f>IF(PaymentSchedule45[[#This Row],[PMT NO]]&lt;&gt;"",SUM(INDEX(PaymentSchedule45[INTEREST],1,1):PaymentSchedule45[[#This Row],[INTEREST]]),"")</f>
        <v>315864.89448408666</v>
      </c>
    </row>
    <row r="373" spans="2:11" x14ac:dyDescent="0.3">
      <c r="B373" s="30">
        <f>IF(LoanIsGood,IF(ROW()-ROW(PaymentSchedule45[[#Headers],[PMT NO]])&gt;ScheduledNumberOfPayments,"",ROW()-ROW(PaymentSchedule45[[#Headers],[PMT NO]])),"")</f>
        <v>358</v>
      </c>
      <c r="C373" s="31">
        <f>IF(PaymentSchedule45[[#This Row],[PMT NO]]&lt;&gt;"",EOMONTH(LoanStartDate,ROW(PaymentSchedule45[[#This Row],[PMT NO]])-ROW(PaymentSchedule45[[#Headers],[PMT NO]])-2)+DAY(LoanStartDate),"")</f>
        <v>54240</v>
      </c>
      <c r="D373" s="32">
        <f>IF(PaymentSchedule45[[#This Row],[PMT NO]]&lt;&gt;"",IF(ROW()-ROW(PaymentSchedule45[[#Headers],[BEGINNING BALANCE]])=1,LoanAmount,INDEX(PaymentSchedule45[ENDING BALANCE],ROW()-ROW(PaymentSchedule45[[#Headers],[BEGINNING BALANCE]])-1)),"")</f>
        <v>3820.1636599058456</v>
      </c>
      <c r="E373" s="32">
        <f>IF(PaymentSchedule45[[#This Row],[PMT NO]]&lt;&gt;"",ScheduledPayment,"")</f>
        <v>1294.2429434851008</v>
      </c>
      <c r="F373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73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73" s="32">
        <f>IF(PaymentSchedule45[[#This Row],[PMT NO]]&lt;&gt;"",PaymentSchedule45[[#This Row],[TOTAL PAYMENT]]-PaymentSchedule45[[#This Row],[INTEREST]],"")</f>
        <v>1263.0449402625363</v>
      </c>
      <c r="I373" s="32">
        <f>IF(PaymentSchedule45[[#This Row],[PMT NO]]&lt;&gt;"",PaymentSchedule45[[#This Row],[BEGINNING BALANCE]]*(InterestRate/PaymentsPerYear),"")</f>
        <v>31.198003222564409</v>
      </c>
      <c r="J373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2557.1187196433093</v>
      </c>
      <c r="K373" s="32">
        <f>IF(PaymentSchedule45[[#This Row],[PMT NO]]&lt;&gt;"",SUM(INDEX(PaymentSchedule45[INTEREST],1,1):PaymentSchedule45[[#This Row],[INTEREST]]),"")</f>
        <v>315896.09248730924</v>
      </c>
    </row>
    <row r="374" spans="2:11" x14ac:dyDescent="0.3">
      <c r="B374" s="30">
        <f>IF(LoanIsGood,IF(ROW()-ROW(PaymentSchedule45[[#Headers],[PMT NO]])&gt;ScheduledNumberOfPayments,"",ROW()-ROW(PaymentSchedule45[[#Headers],[PMT NO]])),"")</f>
        <v>359</v>
      </c>
      <c r="C374" s="31">
        <f>IF(PaymentSchedule45[[#This Row],[PMT NO]]&lt;&gt;"",EOMONTH(LoanStartDate,ROW(PaymentSchedule45[[#This Row],[PMT NO]])-ROW(PaymentSchedule45[[#Headers],[PMT NO]])-2)+DAY(LoanStartDate),"")</f>
        <v>54271</v>
      </c>
      <c r="D374" s="32">
        <f>IF(PaymentSchedule45[[#This Row],[PMT NO]]&lt;&gt;"",IF(ROW()-ROW(PaymentSchedule45[[#Headers],[BEGINNING BALANCE]])=1,LoanAmount,INDEX(PaymentSchedule45[ENDING BALANCE],ROW()-ROW(PaymentSchedule45[[#Headers],[BEGINNING BALANCE]])-1)),"")</f>
        <v>2557.1187196433093</v>
      </c>
      <c r="E374" s="32">
        <f>IF(PaymentSchedule45[[#This Row],[PMT NO]]&lt;&gt;"",ScheduledPayment,"")</f>
        <v>1294.2429434851008</v>
      </c>
      <c r="F374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74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1294.2429434851008</v>
      </c>
      <c r="H374" s="32">
        <f>IF(PaymentSchedule45[[#This Row],[PMT NO]]&lt;&gt;"",PaymentSchedule45[[#This Row],[TOTAL PAYMENT]]-PaymentSchedule45[[#This Row],[INTEREST]],"")</f>
        <v>1273.3598072746804</v>
      </c>
      <c r="I374" s="32">
        <f>IF(PaymentSchedule45[[#This Row],[PMT NO]]&lt;&gt;"",PaymentSchedule45[[#This Row],[BEGINNING BALANCE]]*(InterestRate/PaymentsPerYear),"")</f>
        <v>20.883136210420361</v>
      </c>
      <c r="J374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1283.7589123686289</v>
      </c>
      <c r="K374" s="32">
        <f>IF(PaymentSchedule45[[#This Row],[PMT NO]]&lt;&gt;"",SUM(INDEX(PaymentSchedule45[INTEREST],1,1):PaymentSchedule45[[#This Row],[INTEREST]]),"")</f>
        <v>315916.97562351968</v>
      </c>
    </row>
    <row r="375" spans="2:11" x14ac:dyDescent="0.3">
      <c r="B375" s="30">
        <f>IF(LoanIsGood,IF(ROW()-ROW(PaymentSchedule45[[#Headers],[PMT NO]])&gt;ScheduledNumberOfPayments,"",ROW()-ROW(PaymentSchedule45[[#Headers],[PMT NO]])),"")</f>
        <v>360</v>
      </c>
      <c r="C375" s="31">
        <f>IF(PaymentSchedule45[[#This Row],[PMT NO]]&lt;&gt;"",EOMONTH(LoanStartDate,ROW(PaymentSchedule45[[#This Row],[PMT NO]])-ROW(PaymentSchedule45[[#Headers],[PMT NO]])-2)+DAY(LoanStartDate),"")</f>
        <v>54302</v>
      </c>
      <c r="D375" s="32">
        <f>IF(PaymentSchedule45[[#This Row],[PMT NO]]&lt;&gt;"",IF(ROW()-ROW(PaymentSchedule45[[#Headers],[BEGINNING BALANCE]])=1,LoanAmount,INDEX(PaymentSchedule45[ENDING BALANCE],ROW()-ROW(PaymentSchedule45[[#Headers],[BEGINNING BALANCE]])-1)),"")</f>
        <v>1283.7589123686289</v>
      </c>
      <c r="E375" s="32">
        <f>IF(PaymentSchedule45[[#This Row],[PMT NO]]&lt;&gt;"",ScheduledPayment,"")</f>
        <v>1294.2429434851008</v>
      </c>
      <c r="F375" s="32">
        <f>IF(PaymentSchedule45[[#This Row],[PMT NO]]&lt;&gt;"",IF(PaymentSchedule45[[#This Row],[SCHEDULED PAYMENT]]+ExtraPayments&lt;PaymentSchedule45[[#This Row],[BEGINNING BALANCE]],ExtraPayments,IF(PaymentSchedule45[[#This Row],[BEGINNING BALANCE]]-PaymentSchedule45[[#This Row],[SCHEDULED PAYMENT]]&gt;0,PaymentSchedule45[[#This Row],[BEGINNING BALANCE]]-PaymentSchedule45[[#This Row],[SCHEDULED PAYMENT]],0)),"")</f>
        <v>0</v>
      </c>
      <c r="G375" s="32">
        <f>IF(PaymentSchedule45[[#This Row],[PMT NO]]&lt;&gt;"",IF(PaymentSchedule45[[#This Row],[SCHEDULED PAYMENT]]+PaymentSchedule45[[#This Row],[EXTRA PAYMENT]]&lt;=PaymentSchedule45[[#This Row],[BEGINNING BALANCE]],PaymentSchedule45[[#This Row],[SCHEDULED PAYMENT]]+PaymentSchedule45[[#This Row],[EXTRA PAYMENT]],PaymentSchedule45[[#This Row],[BEGINNING BALANCE]]),"")</f>
        <v>1283.7589123686289</v>
      </c>
      <c r="H375" s="32">
        <f>IF(PaymentSchedule45[[#This Row],[PMT NO]]&lt;&gt;"",PaymentSchedule45[[#This Row],[TOTAL PAYMENT]]-PaymentSchedule45[[#This Row],[INTEREST]],"")</f>
        <v>1273.2748812509517</v>
      </c>
      <c r="I375" s="32">
        <f>IF(PaymentSchedule45[[#This Row],[PMT NO]]&lt;&gt;"",PaymentSchedule45[[#This Row],[BEGINNING BALANCE]]*(InterestRate/PaymentsPerYear),"")</f>
        <v>10.484031117677137</v>
      </c>
      <c r="J375" s="32">
        <f>IF(PaymentSchedule45[[#This Row],[PMT NO]]&lt;&gt;"",IF(PaymentSchedule45[[#This Row],[SCHEDULED PAYMENT]]+PaymentSchedule45[[#This Row],[EXTRA PAYMENT]]&lt;=PaymentSchedule45[[#This Row],[BEGINNING BALANCE]],PaymentSchedule45[[#This Row],[BEGINNING BALANCE]]-PaymentSchedule45[[#This Row],[PRINCIPAL]],0),"")</f>
        <v>0</v>
      </c>
      <c r="K375" s="32">
        <f>IF(PaymentSchedule45[[#This Row],[PMT NO]]&lt;&gt;"",SUM(INDEX(PaymentSchedule45[INTEREST],1,1):PaymentSchedule45[[#This Row],[INTEREST]]),"")</f>
        <v>315927.45965463738</v>
      </c>
    </row>
  </sheetData>
  <mergeCells count="14">
    <mergeCell ref="C13:D13"/>
    <mergeCell ref="H13:I13"/>
    <mergeCell ref="J5:K5"/>
    <mergeCell ref="C6:D6"/>
    <mergeCell ref="G6:H6"/>
    <mergeCell ref="C7:D7"/>
    <mergeCell ref="G7:H7"/>
    <mergeCell ref="J9:K9"/>
    <mergeCell ref="C3:D3"/>
    <mergeCell ref="G3:H3"/>
    <mergeCell ref="C4:D4"/>
    <mergeCell ref="G4:H4"/>
    <mergeCell ref="C5:D5"/>
    <mergeCell ref="G5:H5"/>
  </mergeCells>
  <conditionalFormatting sqref="B16:K375">
    <cfRule type="expression" dxfId="12" priority="1">
      <formula>($B16="")+(($D16=0)*($F16=0))</formula>
    </cfRule>
  </conditionalFormatting>
  <dataValidations count="26">
    <dataValidation allowBlank="1" showInputMessage="1" showErrorMessage="1" prompt="Enter the name of the lender in this cell" sqref="H13:I13" xr:uid="{A193DAF2-0CAC-4218-8253-FBB5F02809DB}"/>
    <dataValidation allowBlank="1" showInputMessage="1" showErrorMessage="1" prompt="Cumulative interest is automatically updated in this column" sqref="K15" xr:uid="{32ACA817-E20A-433D-920F-CD46F75395B6}"/>
    <dataValidation allowBlank="1" showInputMessage="1" showErrorMessage="1" prompt="Ending balance is automatically updated in this column" sqref="J15" xr:uid="{57A1D98F-9DC4-44C4-8A25-353713442748}"/>
    <dataValidation allowBlank="1" showInputMessage="1" showErrorMessage="1" prompt="Interest is automatically updated in this column" sqref="I15" xr:uid="{1E3B35D1-594A-4E7D-A729-3252675CCFD3}"/>
    <dataValidation allowBlank="1" showInputMessage="1" showErrorMessage="1" prompt="Principal is automatically updated in this column" sqref="H15" xr:uid="{4A56A00E-5564-4C52-9CA6-8824CBC150D5}"/>
    <dataValidation allowBlank="1" showInputMessage="1" showErrorMessage="1" prompt="Total payment is automatically updated in this column" sqref="G15" xr:uid="{DD22C7B2-D958-4F4A-A7D8-23C343691312}"/>
    <dataValidation allowBlank="1" showInputMessage="1" showErrorMessage="1" prompt="Extra payment is automatically updated in this column" sqref="F15" xr:uid="{90B60A1E-C559-4CA9-AAB7-206391AB4E18}"/>
    <dataValidation allowBlank="1" showInputMessage="1" showErrorMessage="1" prompt="Scheduled payment is automatically updated in this column" sqref="E15" xr:uid="{3A474D5D-65B7-4193-A612-C8357946E549}"/>
    <dataValidation allowBlank="1" showInputMessage="1" showErrorMessage="1" prompt="Beginning balance is automatically updated in this column" sqref="D15" xr:uid="{6EB0877B-CF6C-4523-9769-7095FF63B2FE}"/>
    <dataValidation allowBlank="1" showInputMessage="1" showErrorMessage="1" prompt="Payment date is automatically updated in this column" sqref="C15" xr:uid="{C6CDDB20-7406-489F-B0A6-377A4CD20788}"/>
    <dataValidation allowBlank="1" showInputMessage="1" showErrorMessage="1" prompt="Payment number is automatically updated in this column" sqref="B15" xr:uid="{DBBB9C9C-05F7-468D-B012-5F60A9E18AEB}"/>
    <dataValidation allowBlank="1" showInputMessage="1" showErrorMessage="1" prompt="Automatically updated total early payments" sqref="I6" xr:uid="{5EBAB42B-F691-40AC-BB6A-20960EE61F85}"/>
    <dataValidation allowBlank="1" showInputMessage="1" showErrorMessage="1" prompt="Worksheet title is in this cell. Enter loan values in cells E3 to E7 &amp; extra payments in cell E9, loan summary in column I &amp; Payment Schedule table will automatically update" sqref="B1" xr:uid="{95A59375-2BBD-47DD-8610-D6178621AC18}"/>
    <dataValidation allowBlank="1" showInputMessage="1" showErrorMessage="1" prompt="Loan Summary fields from I3 to I7 are automatically adjusted based on the values entered. Enter the Lender's name in I9" sqref="G2" xr:uid="{92E18FD8-A8A5-4D62-A04A-20D239BDB839}"/>
    <dataValidation allowBlank="1" showInputMessage="1" showErrorMessage="1" prompt="Enter loan values in cells E3 to E7 and E9. Description of each loan value is in column C. Payment Schedule table starting in cell B11 will automatically update" sqref="C2" xr:uid="{E3C52D9E-E403-4FCE-8078-B5DDC238CCE6}"/>
    <dataValidation allowBlank="1" showInputMessage="1" showErrorMessage="1" prompt="This workbook produces a loan amortization schedule that calculates total interest and total payments &amp; includes the option for extra payments" sqref="A1" xr:uid="{E6B65448-C7C2-45DA-9D83-28EF3E4FA4B4}"/>
    <dataValidation allowBlank="1" showInputMessage="1" showErrorMessage="1" prompt="Automatically updated actual number of payments" sqref="I5" xr:uid="{E7DC1DEB-4633-4987-B48B-BE68278FAC59}"/>
    <dataValidation allowBlank="1" showInputMessage="1" showErrorMessage="1" prompt="Automatically updated scheduled number of payments" sqref="I4" xr:uid="{05DA6512-D61F-4B9B-80A7-4666CDE0AEBF}"/>
    <dataValidation allowBlank="1" showInputMessage="1" showErrorMessage="1" prompt="Automatically updated scheduled payment amount" sqref="I3" xr:uid="{605FC386-2094-4257-9306-6C3A591A2722}"/>
    <dataValidation allowBlank="1" showInputMessage="1" showErrorMessage="1" prompt="Automatically calculated total interest" sqref="I7:I11" xr:uid="{382C3EDC-59EC-480F-A576-5E9EED6105A8}"/>
    <dataValidation allowBlank="1" showInputMessage="1" showErrorMessage="1" prompt="Enter the amount of extra payment in this cell" sqref="E13" xr:uid="{6E66F193-D74C-4CA3-A2AA-6BE27211418F}"/>
    <dataValidation allowBlank="1" showInputMessage="1" showErrorMessage="1" prompt="Enter the start date of loan in this cell" sqref="E7:E11" xr:uid="{749355A4-2BA0-4EA3-B0EF-794915E0F972}"/>
    <dataValidation allowBlank="1" showInputMessage="1" showErrorMessage="1" prompt="Enter the number of payments to be made in a year in this cell" sqref="E6" xr:uid="{9C9D95D1-C0E5-462F-824A-484E3A125BD4}"/>
    <dataValidation allowBlank="1" showInputMessage="1" showErrorMessage="1" prompt="Enter loan period in years in this cell" sqref="E5" xr:uid="{3A17FFD8-4C29-40CF-8D45-3DC966687C70}"/>
    <dataValidation allowBlank="1" showInputMessage="1" showErrorMessage="1" prompt="Enter interest rate to be paid annually in this cell" sqref="E4" xr:uid="{3FB72951-0483-4058-A8E9-1D1A47401CB2}"/>
    <dataValidation allowBlank="1" showInputMessage="1" showErrorMessage="1" prompt="Enter Loan Amount in this cell" sqref="E3" xr:uid="{B9050C68-DE07-4BF2-846C-010DB31091AE}"/>
  </dataValidations>
  <printOptions horizontalCentered="1"/>
  <pageMargins left="0.4" right="0.4" top="0.4" bottom="0.5" header="0.3" footer="0.3"/>
  <pageSetup scale="77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997D5-986A-4990-B906-03AE71572DC4}">
  <sheetPr>
    <tabColor theme="4"/>
    <pageSetUpPr autoPageBreaks="0" fitToPage="1"/>
  </sheetPr>
  <dimension ref="B1:K375"/>
  <sheetViews>
    <sheetView showGridLines="0" zoomScaleNormal="100" workbookViewId="0">
      <pane ySplit="15" topLeftCell="A51" activePane="bottomLeft" state="frozen"/>
      <selection pane="bottomLeft" sqref="A1:K54"/>
    </sheetView>
  </sheetViews>
  <sheetFormatPr defaultRowHeight="12" x14ac:dyDescent="0.3"/>
  <cols>
    <col min="1" max="1" width="2.81640625" style="1" customWidth="1"/>
    <col min="2" max="2" width="7.453125" style="1" customWidth="1"/>
    <col min="3" max="3" width="16.36328125" style="1" customWidth="1"/>
    <col min="4" max="4" width="18.26953125" style="1" customWidth="1"/>
    <col min="5" max="10" width="17" style="1" customWidth="1"/>
    <col min="11" max="11" width="19.1796875" style="1" customWidth="1"/>
    <col min="12" max="16384" width="8.7265625" style="1"/>
  </cols>
  <sheetData>
    <row r="1" spans="2:11" s="42" customFormat="1" ht="30" customHeight="1" thickBot="1" x14ac:dyDescent="0.55000000000000004">
      <c r="B1" s="41" t="s">
        <v>0</v>
      </c>
      <c r="C1" s="41"/>
      <c r="D1" s="41"/>
      <c r="E1" s="41"/>
      <c r="F1" s="41" t="s">
        <v>36</v>
      </c>
      <c r="G1" s="41"/>
      <c r="H1" s="41"/>
      <c r="I1" s="41"/>
      <c r="J1" s="41"/>
      <c r="K1" s="41"/>
    </row>
    <row r="2" spans="2:11" ht="20.149999999999999" customHeight="1" thickTop="1" thickBot="1" x14ac:dyDescent="0.35">
      <c r="C2" s="2" t="s">
        <v>1</v>
      </c>
      <c r="D2" s="2"/>
      <c r="E2" s="2"/>
      <c r="G2" s="2" t="s">
        <v>2</v>
      </c>
      <c r="H2" s="2"/>
      <c r="I2" s="2"/>
    </row>
    <row r="3" spans="2:11" ht="14.25" customHeight="1" x14ac:dyDescent="0.3">
      <c r="C3" s="3" t="s">
        <v>3</v>
      </c>
      <c r="D3" s="3"/>
      <c r="E3" s="4">
        <v>150000</v>
      </c>
      <c r="G3" s="5" t="s">
        <v>4</v>
      </c>
      <c r="H3" s="5"/>
      <c r="I3" s="6">
        <f>IF(LoanIsGood,-PMT(InterestRate/PaymentsPerYear,ScheduledNumberOfPayments,LoanAmount),"")</f>
        <v>760.02796473882097</v>
      </c>
    </row>
    <row r="4" spans="2:11" x14ac:dyDescent="0.3">
      <c r="C4" s="7" t="s">
        <v>5</v>
      </c>
      <c r="D4" s="7"/>
      <c r="E4" s="8">
        <v>4.4999999999999998E-2</v>
      </c>
      <c r="F4" s="1" t="s">
        <v>32</v>
      </c>
      <c r="G4" s="9" t="s">
        <v>6</v>
      </c>
      <c r="H4" s="9"/>
      <c r="I4" s="10">
        <f>IF(LoanIsGood,LoanPeriod*PaymentsPerYear,"")</f>
        <v>360</v>
      </c>
    </row>
    <row r="5" spans="2:11" x14ac:dyDescent="0.3">
      <c r="C5" s="7" t="s">
        <v>7</v>
      </c>
      <c r="D5" s="7"/>
      <c r="E5" s="11">
        <v>30</v>
      </c>
      <c r="G5" s="9" t="s">
        <v>8</v>
      </c>
      <c r="H5" s="9"/>
      <c r="I5" s="10">
        <f>ActualNumberOfPayments</f>
        <v>360</v>
      </c>
      <c r="J5" s="12" t="s">
        <v>30</v>
      </c>
      <c r="K5" s="12"/>
    </row>
    <row r="6" spans="2:11" x14ac:dyDescent="0.3">
      <c r="C6" s="7" t="s">
        <v>9</v>
      </c>
      <c r="D6" s="7"/>
      <c r="E6" s="13">
        <v>12</v>
      </c>
      <c r="G6" s="9" t="s">
        <v>10</v>
      </c>
      <c r="H6" s="9"/>
      <c r="I6" s="14">
        <f>TotalEarlyPayments</f>
        <v>0</v>
      </c>
    </row>
    <row r="7" spans="2:11" x14ac:dyDescent="0.3">
      <c r="C7" s="35" t="s">
        <v>11</v>
      </c>
      <c r="D7" s="35"/>
      <c r="E7" s="36">
        <v>43374</v>
      </c>
      <c r="G7" s="9" t="s">
        <v>12</v>
      </c>
      <c r="H7" s="9"/>
      <c r="I7" s="14">
        <f>TotalInterest</f>
        <v>123610.06730597565</v>
      </c>
    </row>
    <row r="8" spans="2:11" x14ac:dyDescent="0.3">
      <c r="C8" s="37"/>
      <c r="D8" s="37"/>
      <c r="E8" s="38"/>
      <c r="G8" s="18" t="s">
        <v>27</v>
      </c>
      <c r="H8" s="18"/>
      <c r="I8" s="19">
        <f>LoanAmount*0.0052/12</f>
        <v>65</v>
      </c>
    </row>
    <row r="9" spans="2:11" x14ac:dyDescent="0.3">
      <c r="C9" s="37"/>
      <c r="D9" s="37"/>
      <c r="E9" s="38"/>
      <c r="G9" s="18" t="s">
        <v>28</v>
      </c>
      <c r="H9" s="18"/>
      <c r="I9" s="19">
        <f>LoanAmount*0.01/12</f>
        <v>125</v>
      </c>
      <c r="J9" s="12" t="s">
        <v>31</v>
      </c>
      <c r="K9" s="12"/>
    </row>
    <row r="10" spans="2:11" x14ac:dyDescent="0.3">
      <c r="C10" s="37"/>
      <c r="D10" s="37"/>
      <c r="E10" s="38"/>
      <c r="G10" s="18" t="s">
        <v>25</v>
      </c>
      <c r="H10" s="20">
        <v>3200</v>
      </c>
      <c r="I10" s="19">
        <f>H10/12</f>
        <v>266.66666666666669</v>
      </c>
    </row>
    <row r="11" spans="2:11" x14ac:dyDescent="0.3">
      <c r="C11" s="37"/>
      <c r="D11" s="37"/>
      <c r="E11" s="38"/>
      <c r="G11" s="21" t="s">
        <v>26</v>
      </c>
      <c r="H11" s="21"/>
      <c r="I11" s="22">
        <f>ScheduledPayment+I8+I9+I10</f>
        <v>1216.6946314054876</v>
      </c>
    </row>
    <row r="13" spans="2:11" x14ac:dyDescent="0.3">
      <c r="B13" s="23"/>
      <c r="C13" s="24" t="s">
        <v>13</v>
      </c>
      <c r="D13" s="24"/>
      <c r="E13" s="25">
        <v>0</v>
      </c>
      <c r="G13" s="26" t="s">
        <v>14</v>
      </c>
      <c r="H13" s="27"/>
      <c r="I13" s="27"/>
    </row>
    <row r="14" spans="2:11" x14ac:dyDescent="0.3">
      <c r="G14" s="1" t="s">
        <v>29</v>
      </c>
    </row>
    <row r="15" spans="2:11" ht="35.15" customHeight="1" x14ac:dyDescent="0.3">
      <c r="B15" s="28" t="s">
        <v>15</v>
      </c>
      <c r="C15" s="28" t="s">
        <v>16</v>
      </c>
      <c r="D15" s="29" t="s">
        <v>17</v>
      </c>
      <c r="E15" s="29" t="s">
        <v>18</v>
      </c>
      <c r="F15" s="29" t="s">
        <v>19</v>
      </c>
      <c r="G15" s="29" t="s">
        <v>20</v>
      </c>
      <c r="H15" s="29" t="s">
        <v>21</v>
      </c>
      <c r="I15" s="29" t="s">
        <v>22</v>
      </c>
      <c r="J15" s="29" t="s">
        <v>23</v>
      </c>
      <c r="K15" s="29" t="s">
        <v>24</v>
      </c>
    </row>
    <row r="16" spans="2:11" x14ac:dyDescent="0.3">
      <c r="B16" s="30">
        <f>IF(LoanIsGood,IF(ROW()-ROW(PaymentSchedule4[[#Headers],[PMT NO]])&gt;ScheduledNumberOfPayments,"",ROW()-ROW(PaymentSchedule4[[#Headers],[PMT NO]])),"")</f>
        <v>1</v>
      </c>
      <c r="C16" s="31">
        <f>IF(PaymentSchedule4[[#This Row],[PMT NO]]&lt;&gt;"",EOMONTH(LoanStartDate,ROW(PaymentSchedule4[[#This Row],[PMT NO]])-ROW(PaymentSchedule4[[#Headers],[PMT NO]])-2)+DAY(LoanStartDate),"")</f>
        <v>43374</v>
      </c>
      <c r="D16" s="32">
        <f>IF(PaymentSchedule4[[#This Row],[PMT NO]]&lt;&gt;"",IF(ROW()-ROW(PaymentSchedule4[[#Headers],[BEGINNING BALANCE]])=1,LoanAmount,INDEX(PaymentSchedule4[ENDING BALANCE],ROW()-ROW(PaymentSchedule4[[#Headers],[BEGINNING BALANCE]])-1)),"")</f>
        <v>150000</v>
      </c>
      <c r="E16" s="32">
        <f>IF(PaymentSchedule4[[#This Row],[PMT NO]]&lt;&gt;"",ScheduledPayment,"")</f>
        <v>760.02796473882097</v>
      </c>
      <c r="F1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6" s="32">
        <f>IF(PaymentSchedule4[[#This Row],[PMT NO]]&lt;&gt;"",PaymentSchedule4[[#This Row],[TOTAL PAYMENT]]-PaymentSchedule4[[#This Row],[INTEREST]],"")</f>
        <v>197.52796473882097</v>
      </c>
      <c r="I16" s="32">
        <f>IF(PaymentSchedule4[[#This Row],[PMT NO]]&lt;&gt;"",PaymentSchedule4[[#This Row],[BEGINNING BALANCE]]*(InterestRate/PaymentsPerYear),"")</f>
        <v>562.5</v>
      </c>
      <c r="J1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149802.47203526119</v>
      </c>
      <c r="K16" s="32">
        <f>IF(PaymentSchedule4[[#This Row],[PMT NO]]&lt;&gt;"",SUM(INDEX(PaymentSchedule4[INTEREST],1,1):PaymentSchedule4[[#This Row],[INTEREST]]),"")</f>
        <v>562.5</v>
      </c>
    </row>
    <row r="17" spans="2:11" x14ac:dyDescent="0.3">
      <c r="B17" s="30">
        <f>IF(LoanIsGood,IF(ROW()-ROW(PaymentSchedule4[[#Headers],[PMT NO]])&gt;ScheduledNumberOfPayments,"",ROW()-ROW(PaymentSchedule4[[#Headers],[PMT NO]])),"")</f>
        <v>2</v>
      </c>
      <c r="C17" s="31">
        <f>IF(PaymentSchedule4[[#This Row],[PMT NO]]&lt;&gt;"",EOMONTH(LoanStartDate,ROW(PaymentSchedule4[[#This Row],[PMT NO]])-ROW(PaymentSchedule4[[#Headers],[PMT NO]])-2)+DAY(LoanStartDate),"")</f>
        <v>43405</v>
      </c>
      <c r="D17" s="32">
        <f>IF(PaymentSchedule4[[#This Row],[PMT NO]]&lt;&gt;"",IF(ROW()-ROW(PaymentSchedule4[[#Headers],[BEGINNING BALANCE]])=1,LoanAmount,INDEX(PaymentSchedule4[ENDING BALANCE],ROW()-ROW(PaymentSchedule4[[#Headers],[BEGINNING BALANCE]])-1)),"")</f>
        <v>149802.47203526119</v>
      </c>
      <c r="E17" s="32">
        <f>IF(PaymentSchedule4[[#This Row],[PMT NO]]&lt;&gt;"",ScheduledPayment,"")</f>
        <v>760.02796473882097</v>
      </c>
      <c r="F1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7" s="32">
        <f>IF(PaymentSchedule4[[#This Row],[PMT NO]]&lt;&gt;"",PaymentSchedule4[[#This Row],[TOTAL PAYMENT]]-PaymentSchedule4[[#This Row],[INTEREST]],"")</f>
        <v>198.26869460659157</v>
      </c>
      <c r="I17" s="32">
        <f>IF(PaymentSchedule4[[#This Row],[PMT NO]]&lt;&gt;"",PaymentSchedule4[[#This Row],[BEGINNING BALANCE]]*(InterestRate/PaymentsPerYear),"")</f>
        <v>561.7592701322294</v>
      </c>
      <c r="J1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149604.20334065461</v>
      </c>
      <c r="K17" s="32">
        <f>IF(PaymentSchedule4[[#This Row],[PMT NO]]&lt;&gt;"",SUM(INDEX(PaymentSchedule4[INTEREST],1,1):PaymentSchedule4[[#This Row],[INTEREST]]),"")</f>
        <v>1124.2592701322294</v>
      </c>
    </row>
    <row r="18" spans="2:11" x14ac:dyDescent="0.3">
      <c r="B18" s="30">
        <f>IF(LoanIsGood,IF(ROW()-ROW(PaymentSchedule4[[#Headers],[PMT NO]])&gt;ScheduledNumberOfPayments,"",ROW()-ROW(PaymentSchedule4[[#Headers],[PMT NO]])),"")</f>
        <v>3</v>
      </c>
      <c r="C18" s="31">
        <f>IF(PaymentSchedule4[[#This Row],[PMT NO]]&lt;&gt;"",EOMONTH(LoanStartDate,ROW(PaymentSchedule4[[#This Row],[PMT NO]])-ROW(PaymentSchedule4[[#Headers],[PMT NO]])-2)+DAY(LoanStartDate),"")</f>
        <v>43435</v>
      </c>
      <c r="D18" s="32">
        <f>IF(PaymentSchedule4[[#This Row],[PMT NO]]&lt;&gt;"",IF(ROW()-ROW(PaymentSchedule4[[#Headers],[BEGINNING BALANCE]])=1,LoanAmount,INDEX(PaymentSchedule4[ENDING BALANCE],ROW()-ROW(PaymentSchedule4[[#Headers],[BEGINNING BALANCE]])-1)),"")</f>
        <v>149604.20334065461</v>
      </c>
      <c r="E18" s="32">
        <f>IF(PaymentSchedule4[[#This Row],[PMT NO]]&lt;&gt;"",ScheduledPayment,"")</f>
        <v>760.02796473882097</v>
      </c>
      <c r="F1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8" s="32">
        <f>IF(PaymentSchedule4[[#This Row],[PMT NO]]&lt;&gt;"",PaymentSchedule4[[#This Row],[TOTAL PAYMENT]]-PaymentSchedule4[[#This Row],[INTEREST]],"")</f>
        <v>199.01220221136623</v>
      </c>
      <c r="I18" s="32">
        <f>IF(PaymentSchedule4[[#This Row],[PMT NO]]&lt;&gt;"",PaymentSchedule4[[#This Row],[BEGINNING BALANCE]]*(InterestRate/PaymentsPerYear),"")</f>
        <v>561.01576252745474</v>
      </c>
      <c r="J1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149405.19113844325</v>
      </c>
      <c r="K18" s="32">
        <f>IF(PaymentSchedule4[[#This Row],[PMT NO]]&lt;&gt;"",SUM(INDEX(PaymentSchedule4[INTEREST],1,1):PaymentSchedule4[[#This Row],[INTEREST]]),"")</f>
        <v>1685.2750326596843</v>
      </c>
    </row>
    <row r="19" spans="2:11" x14ac:dyDescent="0.3">
      <c r="B19" s="30">
        <f>IF(LoanIsGood,IF(ROW()-ROW(PaymentSchedule4[[#Headers],[PMT NO]])&gt;ScheduledNumberOfPayments,"",ROW()-ROW(PaymentSchedule4[[#Headers],[PMT NO]])),"")</f>
        <v>4</v>
      </c>
      <c r="C19" s="31">
        <f>IF(PaymentSchedule4[[#This Row],[PMT NO]]&lt;&gt;"",EOMONTH(LoanStartDate,ROW(PaymentSchedule4[[#This Row],[PMT NO]])-ROW(PaymentSchedule4[[#Headers],[PMT NO]])-2)+DAY(LoanStartDate),"")</f>
        <v>43466</v>
      </c>
      <c r="D19" s="32">
        <f>IF(PaymentSchedule4[[#This Row],[PMT NO]]&lt;&gt;"",IF(ROW()-ROW(PaymentSchedule4[[#Headers],[BEGINNING BALANCE]])=1,LoanAmount,INDEX(PaymentSchedule4[ENDING BALANCE],ROW()-ROW(PaymentSchedule4[[#Headers],[BEGINNING BALANCE]])-1)),"")</f>
        <v>149405.19113844325</v>
      </c>
      <c r="E19" s="32">
        <f>IF(PaymentSchedule4[[#This Row],[PMT NO]]&lt;&gt;"",ScheduledPayment,"")</f>
        <v>760.02796473882097</v>
      </c>
      <c r="F1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9" s="32">
        <f>IF(PaymentSchedule4[[#This Row],[PMT NO]]&lt;&gt;"",PaymentSchedule4[[#This Row],[TOTAL PAYMENT]]-PaymentSchedule4[[#This Row],[INTEREST]],"")</f>
        <v>199.75849796965883</v>
      </c>
      <c r="I19" s="32">
        <f>IF(PaymentSchedule4[[#This Row],[PMT NO]]&lt;&gt;"",PaymentSchedule4[[#This Row],[BEGINNING BALANCE]]*(InterestRate/PaymentsPerYear),"")</f>
        <v>560.26946676916214</v>
      </c>
      <c r="J1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149205.43264047359</v>
      </c>
      <c r="K19" s="32">
        <f>IF(PaymentSchedule4[[#This Row],[PMT NO]]&lt;&gt;"",SUM(INDEX(PaymentSchedule4[INTEREST],1,1):PaymentSchedule4[[#This Row],[INTEREST]]),"")</f>
        <v>2245.5444994288464</v>
      </c>
    </row>
    <row r="20" spans="2:11" x14ac:dyDescent="0.3">
      <c r="B20" s="30">
        <f>IF(LoanIsGood,IF(ROW()-ROW(PaymentSchedule4[[#Headers],[PMT NO]])&gt;ScheduledNumberOfPayments,"",ROW()-ROW(PaymentSchedule4[[#Headers],[PMT NO]])),"")</f>
        <v>5</v>
      </c>
      <c r="C20" s="31">
        <f>IF(PaymentSchedule4[[#This Row],[PMT NO]]&lt;&gt;"",EOMONTH(LoanStartDate,ROW(PaymentSchedule4[[#This Row],[PMT NO]])-ROW(PaymentSchedule4[[#Headers],[PMT NO]])-2)+DAY(LoanStartDate),"")</f>
        <v>43497</v>
      </c>
      <c r="D20" s="32">
        <f>IF(PaymentSchedule4[[#This Row],[PMT NO]]&lt;&gt;"",IF(ROW()-ROW(PaymentSchedule4[[#Headers],[BEGINNING BALANCE]])=1,LoanAmount,INDEX(PaymentSchedule4[ENDING BALANCE],ROW()-ROW(PaymentSchedule4[[#Headers],[BEGINNING BALANCE]])-1)),"")</f>
        <v>149205.43264047359</v>
      </c>
      <c r="E20" s="32">
        <f>IF(PaymentSchedule4[[#This Row],[PMT NO]]&lt;&gt;"",ScheduledPayment,"")</f>
        <v>760.02796473882097</v>
      </c>
      <c r="F2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0" s="32">
        <f>IF(PaymentSchedule4[[#This Row],[PMT NO]]&lt;&gt;"",PaymentSchedule4[[#This Row],[TOTAL PAYMENT]]-PaymentSchedule4[[#This Row],[INTEREST]],"")</f>
        <v>200.50759233704503</v>
      </c>
      <c r="I20" s="32">
        <f>IF(PaymentSchedule4[[#This Row],[PMT NO]]&lt;&gt;"",PaymentSchedule4[[#This Row],[BEGINNING BALANCE]]*(InterestRate/PaymentsPerYear),"")</f>
        <v>559.52037240177594</v>
      </c>
      <c r="J2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149004.92504813656</v>
      </c>
      <c r="K20" s="32">
        <f>IF(PaymentSchedule4[[#This Row],[PMT NO]]&lt;&gt;"",SUM(INDEX(PaymentSchedule4[INTEREST],1,1):PaymentSchedule4[[#This Row],[INTEREST]]),"")</f>
        <v>2805.0648718306225</v>
      </c>
    </row>
    <row r="21" spans="2:11" x14ac:dyDescent="0.3">
      <c r="B21" s="30">
        <f>IF(LoanIsGood,IF(ROW()-ROW(PaymentSchedule4[[#Headers],[PMT NO]])&gt;ScheduledNumberOfPayments,"",ROW()-ROW(PaymentSchedule4[[#Headers],[PMT NO]])),"")</f>
        <v>6</v>
      </c>
      <c r="C21" s="31">
        <f>IF(PaymentSchedule4[[#This Row],[PMT NO]]&lt;&gt;"",EOMONTH(LoanStartDate,ROW(PaymentSchedule4[[#This Row],[PMT NO]])-ROW(PaymentSchedule4[[#Headers],[PMT NO]])-2)+DAY(LoanStartDate),"")</f>
        <v>43525</v>
      </c>
      <c r="D21" s="32">
        <f>IF(PaymentSchedule4[[#This Row],[PMT NO]]&lt;&gt;"",IF(ROW()-ROW(PaymentSchedule4[[#Headers],[BEGINNING BALANCE]])=1,LoanAmount,INDEX(PaymentSchedule4[ENDING BALANCE],ROW()-ROW(PaymentSchedule4[[#Headers],[BEGINNING BALANCE]])-1)),"")</f>
        <v>149004.92504813656</v>
      </c>
      <c r="E21" s="32">
        <f>IF(PaymentSchedule4[[#This Row],[PMT NO]]&lt;&gt;"",ScheduledPayment,"")</f>
        <v>760.02796473882097</v>
      </c>
      <c r="F2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1" s="32">
        <f>IF(PaymentSchedule4[[#This Row],[PMT NO]]&lt;&gt;"",PaymentSchedule4[[#This Row],[TOTAL PAYMENT]]-PaymentSchedule4[[#This Row],[INTEREST]],"")</f>
        <v>201.25949580830888</v>
      </c>
      <c r="I21" s="32">
        <f>IF(PaymentSchedule4[[#This Row],[PMT NO]]&lt;&gt;"",PaymentSchedule4[[#This Row],[BEGINNING BALANCE]]*(InterestRate/PaymentsPerYear),"")</f>
        <v>558.76846893051209</v>
      </c>
      <c r="J2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148803.66555232825</v>
      </c>
      <c r="K21" s="32">
        <f>IF(PaymentSchedule4[[#This Row],[PMT NO]]&lt;&gt;"",SUM(INDEX(PaymentSchedule4[INTEREST],1,1):PaymentSchedule4[[#This Row],[INTEREST]]),"")</f>
        <v>3363.8333407611344</v>
      </c>
    </row>
    <row r="22" spans="2:11" x14ac:dyDescent="0.3">
      <c r="B22" s="30">
        <f>IF(LoanIsGood,IF(ROW()-ROW(PaymentSchedule4[[#Headers],[PMT NO]])&gt;ScheduledNumberOfPayments,"",ROW()-ROW(PaymentSchedule4[[#Headers],[PMT NO]])),"")</f>
        <v>7</v>
      </c>
      <c r="C22" s="31">
        <f>IF(PaymentSchedule4[[#This Row],[PMT NO]]&lt;&gt;"",EOMONTH(LoanStartDate,ROW(PaymentSchedule4[[#This Row],[PMT NO]])-ROW(PaymentSchedule4[[#Headers],[PMT NO]])-2)+DAY(LoanStartDate),"")</f>
        <v>43556</v>
      </c>
      <c r="D22" s="32">
        <f>IF(PaymentSchedule4[[#This Row],[PMT NO]]&lt;&gt;"",IF(ROW()-ROW(PaymentSchedule4[[#Headers],[BEGINNING BALANCE]])=1,LoanAmount,INDEX(PaymentSchedule4[ENDING BALANCE],ROW()-ROW(PaymentSchedule4[[#Headers],[BEGINNING BALANCE]])-1)),"")</f>
        <v>148803.66555232825</v>
      </c>
      <c r="E22" s="32">
        <f>IF(PaymentSchedule4[[#This Row],[PMT NO]]&lt;&gt;"",ScheduledPayment,"")</f>
        <v>760.02796473882097</v>
      </c>
      <c r="F2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2" s="32">
        <f>IF(PaymentSchedule4[[#This Row],[PMT NO]]&lt;&gt;"",PaymentSchedule4[[#This Row],[TOTAL PAYMENT]]-PaymentSchedule4[[#This Row],[INTEREST]],"")</f>
        <v>202.01421891759003</v>
      </c>
      <c r="I22" s="32">
        <f>IF(PaymentSchedule4[[#This Row],[PMT NO]]&lt;&gt;"",PaymentSchedule4[[#This Row],[BEGINNING BALANCE]]*(InterestRate/PaymentsPerYear),"")</f>
        <v>558.01374582123094</v>
      </c>
      <c r="J2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148601.65133341067</v>
      </c>
      <c r="K22" s="32">
        <f>IF(PaymentSchedule4[[#This Row],[PMT NO]]&lt;&gt;"",SUM(INDEX(PaymentSchedule4[INTEREST],1,1):PaymentSchedule4[[#This Row],[INTEREST]]),"")</f>
        <v>3921.8470865823656</v>
      </c>
    </row>
    <row r="23" spans="2:11" x14ac:dyDescent="0.3">
      <c r="B23" s="30">
        <f>IF(LoanIsGood,IF(ROW()-ROW(PaymentSchedule4[[#Headers],[PMT NO]])&gt;ScheduledNumberOfPayments,"",ROW()-ROW(PaymentSchedule4[[#Headers],[PMT NO]])),"")</f>
        <v>8</v>
      </c>
      <c r="C23" s="31">
        <f>IF(PaymentSchedule4[[#This Row],[PMT NO]]&lt;&gt;"",EOMONTH(LoanStartDate,ROW(PaymentSchedule4[[#This Row],[PMT NO]])-ROW(PaymentSchedule4[[#Headers],[PMT NO]])-2)+DAY(LoanStartDate),"")</f>
        <v>43586</v>
      </c>
      <c r="D23" s="32">
        <f>IF(PaymentSchedule4[[#This Row],[PMT NO]]&lt;&gt;"",IF(ROW()-ROW(PaymentSchedule4[[#Headers],[BEGINNING BALANCE]])=1,LoanAmount,INDEX(PaymentSchedule4[ENDING BALANCE],ROW()-ROW(PaymentSchedule4[[#Headers],[BEGINNING BALANCE]])-1)),"")</f>
        <v>148601.65133341067</v>
      </c>
      <c r="E23" s="32">
        <f>IF(PaymentSchedule4[[#This Row],[PMT NO]]&lt;&gt;"",ScheduledPayment,"")</f>
        <v>760.02796473882097</v>
      </c>
      <c r="F2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3" s="32">
        <f>IF(PaymentSchedule4[[#This Row],[PMT NO]]&lt;&gt;"",PaymentSchedule4[[#This Row],[TOTAL PAYMENT]]-PaymentSchedule4[[#This Row],[INTEREST]],"")</f>
        <v>202.77177223853096</v>
      </c>
      <c r="I23" s="32">
        <f>IF(PaymentSchedule4[[#This Row],[PMT NO]]&lt;&gt;"",PaymentSchedule4[[#This Row],[BEGINNING BALANCE]]*(InterestRate/PaymentsPerYear),"")</f>
        <v>557.25619250029001</v>
      </c>
      <c r="J2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148398.87956117213</v>
      </c>
      <c r="K23" s="32">
        <f>IF(PaymentSchedule4[[#This Row],[PMT NO]]&lt;&gt;"",SUM(INDEX(PaymentSchedule4[INTEREST],1,1):PaymentSchedule4[[#This Row],[INTEREST]]),"")</f>
        <v>4479.1032790826557</v>
      </c>
    </row>
    <row r="24" spans="2:11" x14ac:dyDescent="0.3">
      <c r="B24" s="30">
        <f>IF(LoanIsGood,IF(ROW()-ROW(PaymentSchedule4[[#Headers],[PMT NO]])&gt;ScheduledNumberOfPayments,"",ROW()-ROW(PaymentSchedule4[[#Headers],[PMT NO]])),"")</f>
        <v>9</v>
      </c>
      <c r="C24" s="31">
        <f>IF(PaymentSchedule4[[#This Row],[PMT NO]]&lt;&gt;"",EOMONTH(LoanStartDate,ROW(PaymentSchedule4[[#This Row],[PMT NO]])-ROW(PaymentSchedule4[[#Headers],[PMT NO]])-2)+DAY(LoanStartDate),"")</f>
        <v>43617</v>
      </c>
      <c r="D24" s="32">
        <f>IF(PaymentSchedule4[[#This Row],[PMT NO]]&lt;&gt;"",IF(ROW()-ROW(PaymentSchedule4[[#Headers],[BEGINNING BALANCE]])=1,LoanAmount,INDEX(PaymentSchedule4[ENDING BALANCE],ROW()-ROW(PaymentSchedule4[[#Headers],[BEGINNING BALANCE]])-1)),"")</f>
        <v>148398.87956117213</v>
      </c>
      <c r="E24" s="32">
        <f>IF(PaymentSchedule4[[#This Row],[PMT NO]]&lt;&gt;"",ScheduledPayment,"")</f>
        <v>760.02796473882097</v>
      </c>
      <c r="F2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4" s="32">
        <f>IF(PaymentSchedule4[[#This Row],[PMT NO]]&lt;&gt;"",PaymentSchedule4[[#This Row],[TOTAL PAYMENT]]-PaymentSchedule4[[#This Row],[INTEREST]],"")</f>
        <v>203.53216638442552</v>
      </c>
      <c r="I24" s="32">
        <f>IF(PaymentSchedule4[[#This Row],[PMT NO]]&lt;&gt;"",PaymentSchedule4[[#This Row],[BEGINNING BALANCE]]*(InterestRate/PaymentsPerYear),"")</f>
        <v>556.49579835439545</v>
      </c>
      <c r="J2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148195.34739478771</v>
      </c>
      <c r="K24" s="32">
        <f>IF(PaymentSchedule4[[#This Row],[PMT NO]]&lt;&gt;"",SUM(INDEX(PaymentSchedule4[INTEREST],1,1):PaymentSchedule4[[#This Row],[INTEREST]]),"")</f>
        <v>5035.5990774370512</v>
      </c>
    </row>
    <row r="25" spans="2:11" x14ac:dyDescent="0.3">
      <c r="B25" s="30">
        <f>IF(LoanIsGood,IF(ROW()-ROW(PaymentSchedule4[[#Headers],[PMT NO]])&gt;ScheduledNumberOfPayments,"",ROW()-ROW(PaymentSchedule4[[#Headers],[PMT NO]])),"")</f>
        <v>10</v>
      </c>
      <c r="C25" s="31">
        <f>IF(PaymentSchedule4[[#This Row],[PMT NO]]&lt;&gt;"",EOMONTH(LoanStartDate,ROW(PaymentSchedule4[[#This Row],[PMT NO]])-ROW(PaymentSchedule4[[#Headers],[PMT NO]])-2)+DAY(LoanStartDate),"")</f>
        <v>43647</v>
      </c>
      <c r="D25" s="32">
        <f>IF(PaymentSchedule4[[#This Row],[PMT NO]]&lt;&gt;"",IF(ROW()-ROW(PaymentSchedule4[[#Headers],[BEGINNING BALANCE]])=1,LoanAmount,INDEX(PaymentSchedule4[ENDING BALANCE],ROW()-ROW(PaymentSchedule4[[#Headers],[BEGINNING BALANCE]])-1)),"")</f>
        <v>148195.34739478771</v>
      </c>
      <c r="E25" s="32">
        <f>IF(PaymentSchedule4[[#This Row],[PMT NO]]&lt;&gt;"",ScheduledPayment,"")</f>
        <v>760.02796473882097</v>
      </c>
      <c r="F2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5" s="32">
        <f>IF(PaymentSchedule4[[#This Row],[PMT NO]]&lt;&gt;"",PaymentSchedule4[[#This Row],[TOTAL PAYMENT]]-PaymentSchedule4[[#This Row],[INTEREST]],"")</f>
        <v>204.29541200836707</v>
      </c>
      <c r="I25" s="32">
        <f>IF(PaymentSchedule4[[#This Row],[PMT NO]]&lt;&gt;"",PaymentSchedule4[[#This Row],[BEGINNING BALANCE]]*(InterestRate/PaymentsPerYear),"")</f>
        <v>555.7325527304539</v>
      </c>
      <c r="J2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147991.05198277935</v>
      </c>
      <c r="K25" s="32">
        <f>IF(PaymentSchedule4[[#This Row],[PMT NO]]&lt;&gt;"",SUM(INDEX(PaymentSchedule4[INTEREST],1,1):PaymentSchedule4[[#This Row],[INTEREST]]),"")</f>
        <v>5591.331630167505</v>
      </c>
    </row>
    <row r="26" spans="2:11" x14ac:dyDescent="0.3">
      <c r="B26" s="30">
        <f>IF(LoanIsGood,IF(ROW()-ROW(PaymentSchedule4[[#Headers],[PMT NO]])&gt;ScheduledNumberOfPayments,"",ROW()-ROW(PaymentSchedule4[[#Headers],[PMT NO]])),"")</f>
        <v>11</v>
      </c>
      <c r="C26" s="31">
        <f>IF(PaymentSchedule4[[#This Row],[PMT NO]]&lt;&gt;"",EOMONTH(LoanStartDate,ROW(PaymentSchedule4[[#This Row],[PMT NO]])-ROW(PaymentSchedule4[[#Headers],[PMT NO]])-2)+DAY(LoanStartDate),"")</f>
        <v>43678</v>
      </c>
      <c r="D26" s="32">
        <f>IF(PaymentSchedule4[[#This Row],[PMT NO]]&lt;&gt;"",IF(ROW()-ROW(PaymentSchedule4[[#Headers],[BEGINNING BALANCE]])=1,LoanAmount,INDEX(PaymentSchedule4[ENDING BALANCE],ROW()-ROW(PaymentSchedule4[[#Headers],[BEGINNING BALANCE]])-1)),"")</f>
        <v>147991.05198277935</v>
      </c>
      <c r="E26" s="32">
        <f>IF(PaymentSchedule4[[#This Row],[PMT NO]]&lt;&gt;"",ScheduledPayment,"")</f>
        <v>760.02796473882097</v>
      </c>
      <c r="F2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6" s="32">
        <f>IF(PaymentSchedule4[[#This Row],[PMT NO]]&lt;&gt;"",PaymentSchedule4[[#This Row],[TOTAL PAYMENT]]-PaymentSchedule4[[#This Row],[INTEREST]],"")</f>
        <v>205.06151980339848</v>
      </c>
      <c r="I26" s="32">
        <f>IF(PaymentSchedule4[[#This Row],[PMT NO]]&lt;&gt;"",PaymentSchedule4[[#This Row],[BEGINNING BALANCE]]*(InterestRate/PaymentsPerYear),"")</f>
        <v>554.96644493542249</v>
      </c>
      <c r="J2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147785.99046297595</v>
      </c>
      <c r="K26" s="32">
        <f>IF(PaymentSchedule4[[#This Row],[PMT NO]]&lt;&gt;"",SUM(INDEX(PaymentSchedule4[INTEREST],1,1):PaymentSchedule4[[#This Row],[INTEREST]]),"")</f>
        <v>6146.2980751029272</v>
      </c>
    </row>
    <row r="27" spans="2:11" x14ac:dyDescent="0.3">
      <c r="B27" s="30">
        <f>IF(LoanIsGood,IF(ROW()-ROW(PaymentSchedule4[[#Headers],[PMT NO]])&gt;ScheduledNumberOfPayments,"",ROW()-ROW(PaymentSchedule4[[#Headers],[PMT NO]])),"")</f>
        <v>12</v>
      </c>
      <c r="C27" s="31">
        <f>IF(PaymentSchedule4[[#This Row],[PMT NO]]&lt;&gt;"",EOMONTH(LoanStartDate,ROW(PaymentSchedule4[[#This Row],[PMT NO]])-ROW(PaymentSchedule4[[#Headers],[PMT NO]])-2)+DAY(LoanStartDate),"")</f>
        <v>43709</v>
      </c>
      <c r="D27" s="32">
        <f>IF(PaymentSchedule4[[#This Row],[PMT NO]]&lt;&gt;"",IF(ROW()-ROW(PaymentSchedule4[[#Headers],[BEGINNING BALANCE]])=1,LoanAmount,INDEX(PaymentSchedule4[ENDING BALANCE],ROW()-ROW(PaymentSchedule4[[#Headers],[BEGINNING BALANCE]])-1)),"")</f>
        <v>147785.99046297595</v>
      </c>
      <c r="E27" s="32">
        <f>IF(PaymentSchedule4[[#This Row],[PMT NO]]&lt;&gt;"",ScheduledPayment,"")</f>
        <v>760.02796473882097</v>
      </c>
      <c r="F2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7" s="32">
        <f>IF(PaymentSchedule4[[#This Row],[PMT NO]]&lt;&gt;"",PaymentSchedule4[[#This Row],[TOTAL PAYMENT]]-PaymentSchedule4[[#This Row],[INTEREST]],"")</f>
        <v>205.83050050266115</v>
      </c>
      <c r="I27" s="32">
        <f>IF(PaymentSchedule4[[#This Row],[PMT NO]]&lt;&gt;"",PaymentSchedule4[[#This Row],[BEGINNING BALANCE]]*(InterestRate/PaymentsPerYear),"")</f>
        <v>554.19746423615982</v>
      </c>
      <c r="J2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147580.15996247329</v>
      </c>
      <c r="K27" s="32">
        <f>IF(PaymentSchedule4[[#This Row],[PMT NO]]&lt;&gt;"",SUM(INDEX(PaymentSchedule4[INTEREST],1,1):PaymentSchedule4[[#This Row],[INTEREST]]),"")</f>
        <v>6700.4955393390874</v>
      </c>
    </row>
    <row r="28" spans="2:11" x14ac:dyDescent="0.3">
      <c r="B28" s="30">
        <f>IF(LoanIsGood,IF(ROW()-ROW(PaymentSchedule4[[#Headers],[PMT NO]])&gt;ScheduledNumberOfPayments,"",ROW()-ROW(PaymentSchedule4[[#Headers],[PMT NO]])),"")</f>
        <v>13</v>
      </c>
      <c r="C28" s="31">
        <f>IF(PaymentSchedule4[[#This Row],[PMT NO]]&lt;&gt;"",EOMONTH(LoanStartDate,ROW(PaymentSchedule4[[#This Row],[PMT NO]])-ROW(PaymentSchedule4[[#Headers],[PMT NO]])-2)+DAY(LoanStartDate),"")</f>
        <v>43739</v>
      </c>
      <c r="D28" s="32">
        <f>IF(PaymentSchedule4[[#This Row],[PMT NO]]&lt;&gt;"",IF(ROW()-ROW(PaymentSchedule4[[#Headers],[BEGINNING BALANCE]])=1,LoanAmount,INDEX(PaymentSchedule4[ENDING BALANCE],ROW()-ROW(PaymentSchedule4[[#Headers],[BEGINNING BALANCE]])-1)),"")</f>
        <v>147580.15996247329</v>
      </c>
      <c r="E28" s="32">
        <f>IF(PaymentSchedule4[[#This Row],[PMT NO]]&lt;&gt;"",ScheduledPayment,"")</f>
        <v>760.02796473882097</v>
      </c>
      <c r="F2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8" s="32">
        <f>IF(PaymentSchedule4[[#This Row],[PMT NO]]&lt;&gt;"",PaymentSchedule4[[#This Row],[TOTAL PAYMENT]]-PaymentSchedule4[[#This Row],[INTEREST]],"")</f>
        <v>206.60236487954614</v>
      </c>
      <c r="I28" s="32">
        <f>IF(PaymentSchedule4[[#This Row],[PMT NO]]&lt;&gt;"",PaymentSchedule4[[#This Row],[BEGINNING BALANCE]]*(InterestRate/PaymentsPerYear),"")</f>
        <v>553.42559985927483</v>
      </c>
      <c r="J2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147373.55759759375</v>
      </c>
      <c r="K28" s="32">
        <f>IF(PaymentSchedule4[[#This Row],[PMT NO]]&lt;&gt;"",SUM(INDEX(PaymentSchedule4[INTEREST],1,1):PaymentSchedule4[[#This Row],[INTEREST]]),"")</f>
        <v>7253.9211391983627</v>
      </c>
    </row>
    <row r="29" spans="2:11" x14ac:dyDescent="0.3">
      <c r="B29" s="30">
        <f>IF(LoanIsGood,IF(ROW()-ROW(PaymentSchedule4[[#Headers],[PMT NO]])&gt;ScheduledNumberOfPayments,"",ROW()-ROW(PaymentSchedule4[[#Headers],[PMT NO]])),"")</f>
        <v>14</v>
      </c>
      <c r="C29" s="31">
        <f>IF(PaymentSchedule4[[#This Row],[PMT NO]]&lt;&gt;"",EOMONTH(LoanStartDate,ROW(PaymentSchedule4[[#This Row],[PMT NO]])-ROW(PaymentSchedule4[[#Headers],[PMT NO]])-2)+DAY(LoanStartDate),"")</f>
        <v>43770</v>
      </c>
      <c r="D29" s="32">
        <f>IF(PaymentSchedule4[[#This Row],[PMT NO]]&lt;&gt;"",IF(ROW()-ROW(PaymentSchedule4[[#Headers],[BEGINNING BALANCE]])=1,LoanAmount,INDEX(PaymentSchedule4[ENDING BALANCE],ROW()-ROW(PaymentSchedule4[[#Headers],[BEGINNING BALANCE]])-1)),"")</f>
        <v>147373.55759759375</v>
      </c>
      <c r="E29" s="32">
        <f>IF(PaymentSchedule4[[#This Row],[PMT NO]]&lt;&gt;"",ScheduledPayment,"")</f>
        <v>760.02796473882097</v>
      </c>
      <c r="F2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9" s="32">
        <f>IF(PaymentSchedule4[[#This Row],[PMT NO]]&lt;&gt;"",PaymentSchedule4[[#This Row],[TOTAL PAYMENT]]-PaymentSchedule4[[#This Row],[INTEREST]],"")</f>
        <v>207.37712374784439</v>
      </c>
      <c r="I29" s="32">
        <f>IF(PaymentSchedule4[[#This Row],[PMT NO]]&lt;&gt;"",PaymentSchedule4[[#This Row],[BEGINNING BALANCE]]*(InterestRate/PaymentsPerYear),"")</f>
        <v>552.65084099097658</v>
      </c>
      <c r="J2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147166.18047384592</v>
      </c>
      <c r="K29" s="32">
        <f>IF(PaymentSchedule4[[#This Row],[PMT NO]]&lt;&gt;"",SUM(INDEX(PaymentSchedule4[INTEREST],1,1):PaymentSchedule4[[#This Row],[INTEREST]]),"")</f>
        <v>7806.5719801893392</v>
      </c>
    </row>
    <row r="30" spans="2:11" x14ac:dyDescent="0.3">
      <c r="B30" s="30">
        <f>IF(LoanIsGood,IF(ROW()-ROW(PaymentSchedule4[[#Headers],[PMT NO]])&gt;ScheduledNumberOfPayments,"",ROW()-ROW(PaymentSchedule4[[#Headers],[PMT NO]])),"")</f>
        <v>15</v>
      </c>
      <c r="C30" s="31">
        <f>IF(PaymentSchedule4[[#This Row],[PMT NO]]&lt;&gt;"",EOMONTH(LoanStartDate,ROW(PaymentSchedule4[[#This Row],[PMT NO]])-ROW(PaymentSchedule4[[#Headers],[PMT NO]])-2)+DAY(LoanStartDate),"")</f>
        <v>43800</v>
      </c>
      <c r="D30" s="32">
        <f>IF(PaymentSchedule4[[#This Row],[PMT NO]]&lt;&gt;"",IF(ROW()-ROW(PaymentSchedule4[[#Headers],[BEGINNING BALANCE]])=1,LoanAmount,INDEX(PaymentSchedule4[ENDING BALANCE],ROW()-ROW(PaymentSchedule4[[#Headers],[BEGINNING BALANCE]])-1)),"")</f>
        <v>147166.18047384592</v>
      </c>
      <c r="E30" s="32">
        <f>IF(PaymentSchedule4[[#This Row],[PMT NO]]&lt;&gt;"",ScheduledPayment,"")</f>
        <v>760.02796473882097</v>
      </c>
      <c r="F3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0" s="32">
        <f>IF(PaymentSchedule4[[#This Row],[PMT NO]]&lt;&gt;"",PaymentSchedule4[[#This Row],[TOTAL PAYMENT]]-PaymentSchedule4[[#This Row],[INTEREST]],"")</f>
        <v>208.15478796189882</v>
      </c>
      <c r="I30" s="32">
        <f>IF(PaymentSchedule4[[#This Row],[PMT NO]]&lt;&gt;"",PaymentSchedule4[[#This Row],[BEGINNING BALANCE]]*(InterestRate/PaymentsPerYear),"")</f>
        <v>551.87317677692215</v>
      </c>
      <c r="J3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146958.02568588403</v>
      </c>
      <c r="K30" s="32">
        <f>IF(PaymentSchedule4[[#This Row],[PMT NO]]&lt;&gt;"",SUM(INDEX(PaymentSchedule4[INTEREST],1,1):PaymentSchedule4[[#This Row],[INTEREST]]),"")</f>
        <v>8358.4451569662615</v>
      </c>
    </row>
    <row r="31" spans="2:11" x14ac:dyDescent="0.3">
      <c r="B31" s="30">
        <f>IF(LoanIsGood,IF(ROW()-ROW(PaymentSchedule4[[#Headers],[PMT NO]])&gt;ScheduledNumberOfPayments,"",ROW()-ROW(PaymentSchedule4[[#Headers],[PMT NO]])),"")</f>
        <v>16</v>
      </c>
      <c r="C31" s="31">
        <f>IF(PaymentSchedule4[[#This Row],[PMT NO]]&lt;&gt;"",EOMONTH(LoanStartDate,ROW(PaymentSchedule4[[#This Row],[PMT NO]])-ROW(PaymentSchedule4[[#Headers],[PMT NO]])-2)+DAY(LoanStartDate),"")</f>
        <v>43831</v>
      </c>
      <c r="D31" s="32">
        <f>IF(PaymentSchedule4[[#This Row],[PMT NO]]&lt;&gt;"",IF(ROW()-ROW(PaymentSchedule4[[#Headers],[BEGINNING BALANCE]])=1,LoanAmount,INDEX(PaymentSchedule4[ENDING BALANCE],ROW()-ROW(PaymentSchedule4[[#Headers],[BEGINNING BALANCE]])-1)),"")</f>
        <v>146958.02568588403</v>
      </c>
      <c r="E31" s="32">
        <f>IF(PaymentSchedule4[[#This Row],[PMT NO]]&lt;&gt;"",ScheduledPayment,"")</f>
        <v>760.02796473882097</v>
      </c>
      <c r="F3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1" s="32">
        <f>IF(PaymentSchedule4[[#This Row],[PMT NO]]&lt;&gt;"",PaymentSchedule4[[#This Row],[TOTAL PAYMENT]]-PaymentSchedule4[[#This Row],[INTEREST]],"")</f>
        <v>208.93536841675586</v>
      </c>
      <c r="I31" s="32">
        <f>IF(PaymentSchedule4[[#This Row],[PMT NO]]&lt;&gt;"",PaymentSchedule4[[#This Row],[BEGINNING BALANCE]]*(InterestRate/PaymentsPerYear),"")</f>
        <v>551.09259632206511</v>
      </c>
      <c r="J3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146749.09031746729</v>
      </c>
      <c r="K31" s="32">
        <f>IF(PaymentSchedule4[[#This Row],[PMT NO]]&lt;&gt;"",SUM(INDEX(PaymentSchedule4[INTEREST],1,1):PaymentSchedule4[[#This Row],[INTEREST]]),"")</f>
        <v>8909.5377532883267</v>
      </c>
    </row>
    <row r="32" spans="2:11" x14ac:dyDescent="0.3">
      <c r="B32" s="30">
        <f>IF(LoanIsGood,IF(ROW()-ROW(PaymentSchedule4[[#Headers],[PMT NO]])&gt;ScheduledNumberOfPayments,"",ROW()-ROW(PaymentSchedule4[[#Headers],[PMT NO]])),"")</f>
        <v>17</v>
      </c>
      <c r="C32" s="31">
        <f>IF(PaymentSchedule4[[#This Row],[PMT NO]]&lt;&gt;"",EOMONTH(LoanStartDate,ROW(PaymentSchedule4[[#This Row],[PMT NO]])-ROW(PaymentSchedule4[[#Headers],[PMT NO]])-2)+DAY(LoanStartDate),"")</f>
        <v>43862</v>
      </c>
      <c r="D32" s="32">
        <f>IF(PaymentSchedule4[[#This Row],[PMT NO]]&lt;&gt;"",IF(ROW()-ROW(PaymentSchedule4[[#Headers],[BEGINNING BALANCE]])=1,LoanAmount,INDEX(PaymentSchedule4[ENDING BALANCE],ROW()-ROW(PaymentSchedule4[[#Headers],[BEGINNING BALANCE]])-1)),"")</f>
        <v>146749.09031746729</v>
      </c>
      <c r="E32" s="32">
        <f>IF(PaymentSchedule4[[#This Row],[PMT NO]]&lt;&gt;"",ScheduledPayment,"")</f>
        <v>760.02796473882097</v>
      </c>
      <c r="F3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2" s="32">
        <f>IF(PaymentSchedule4[[#This Row],[PMT NO]]&lt;&gt;"",PaymentSchedule4[[#This Row],[TOTAL PAYMENT]]-PaymentSchedule4[[#This Row],[INTEREST]],"")</f>
        <v>209.71887604831863</v>
      </c>
      <c r="I32" s="32">
        <f>IF(PaymentSchedule4[[#This Row],[PMT NO]]&lt;&gt;"",PaymentSchedule4[[#This Row],[BEGINNING BALANCE]]*(InterestRate/PaymentsPerYear),"")</f>
        <v>550.30908869050234</v>
      </c>
      <c r="J3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146539.37144141897</v>
      </c>
      <c r="K32" s="32">
        <f>IF(PaymentSchedule4[[#This Row],[PMT NO]]&lt;&gt;"",SUM(INDEX(PaymentSchedule4[INTEREST],1,1):PaymentSchedule4[[#This Row],[INTEREST]]),"")</f>
        <v>9459.8468419788296</v>
      </c>
    </row>
    <row r="33" spans="2:11" x14ac:dyDescent="0.3">
      <c r="B33" s="30">
        <f>IF(LoanIsGood,IF(ROW()-ROW(PaymentSchedule4[[#Headers],[PMT NO]])&gt;ScheduledNumberOfPayments,"",ROW()-ROW(PaymentSchedule4[[#Headers],[PMT NO]])),"")</f>
        <v>18</v>
      </c>
      <c r="C33" s="31">
        <f>IF(PaymentSchedule4[[#This Row],[PMT NO]]&lt;&gt;"",EOMONTH(LoanStartDate,ROW(PaymentSchedule4[[#This Row],[PMT NO]])-ROW(PaymentSchedule4[[#Headers],[PMT NO]])-2)+DAY(LoanStartDate),"")</f>
        <v>43891</v>
      </c>
      <c r="D33" s="32">
        <f>IF(PaymentSchedule4[[#This Row],[PMT NO]]&lt;&gt;"",IF(ROW()-ROW(PaymentSchedule4[[#Headers],[BEGINNING BALANCE]])=1,LoanAmount,INDEX(PaymentSchedule4[ENDING BALANCE],ROW()-ROW(PaymentSchedule4[[#Headers],[BEGINNING BALANCE]])-1)),"")</f>
        <v>146539.37144141897</v>
      </c>
      <c r="E33" s="32">
        <f>IF(PaymentSchedule4[[#This Row],[PMT NO]]&lt;&gt;"",ScheduledPayment,"")</f>
        <v>760.02796473882097</v>
      </c>
      <c r="F3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3" s="32">
        <f>IF(PaymentSchedule4[[#This Row],[PMT NO]]&lt;&gt;"",PaymentSchedule4[[#This Row],[TOTAL PAYMENT]]-PaymentSchedule4[[#This Row],[INTEREST]],"")</f>
        <v>210.50532183349981</v>
      </c>
      <c r="I33" s="32">
        <f>IF(PaymentSchedule4[[#This Row],[PMT NO]]&lt;&gt;"",PaymentSchedule4[[#This Row],[BEGINNING BALANCE]]*(InterestRate/PaymentsPerYear),"")</f>
        <v>549.52264290532116</v>
      </c>
      <c r="J3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146328.86611958547</v>
      </c>
      <c r="K33" s="32">
        <f>IF(PaymentSchedule4[[#This Row],[PMT NO]]&lt;&gt;"",SUM(INDEX(PaymentSchedule4[INTEREST],1,1):PaymentSchedule4[[#This Row],[INTEREST]]),"")</f>
        <v>10009.369484884151</v>
      </c>
    </row>
    <row r="34" spans="2:11" x14ac:dyDescent="0.3">
      <c r="B34" s="30">
        <f>IF(LoanIsGood,IF(ROW()-ROW(PaymentSchedule4[[#Headers],[PMT NO]])&gt;ScheduledNumberOfPayments,"",ROW()-ROW(PaymentSchedule4[[#Headers],[PMT NO]])),"")</f>
        <v>19</v>
      </c>
      <c r="C34" s="31">
        <f>IF(PaymentSchedule4[[#This Row],[PMT NO]]&lt;&gt;"",EOMONTH(LoanStartDate,ROW(PaymentSchedule4[[#This Row],[PMT NO]])-ROW(PaymentSchedule4[[#Headers],[PMT NO]])-2)+DAY(LoanStartDate),"")</f>
        <v>43922</v>
      </c>
      <c r="D34" s="32">
        <f>IF(PaymentSchedule4[[#This Row],[PMT NO]]&lt;&gt;"",IF(ROW()-ROW(PaymentSchedule4[[#Headers],[BEGINNING BALANCE]])=1,LoanAmount,INDEX(PaymentSchedule4[ENDING BALANCE],ROW()-ROW(PaymentSchedule4[[#Headers],[BEGINNING BALANCE]])-1)),"")</f>
        <v>146328.86611958547</v>
      </c>
      <c r="E34" s="32">
        <f>IF(PaymentSchedule4[[#This Row],[PMT NO]]&lt;&gt;"",ScheduledPayment,"")</f>
        <v>760.02796473882097</v>
      </c>
      <c r="F3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4" s="32">
        <f>IF(PaymentSchedule4[[#This Row],[PMT NO]]&lt;&gt;"",PaymentSchedule4[[#This Row],[TOTAL PAYMENT]]-PaymentSchedule4[[#This Row],[INTEREST]],"")</f>
        <v>211.29471679037545</v>
      </c>
      <c r="I34" s="32">
        <f>IF(PaymentSchedule4[[#This Row],[PMT NO]]&lt;&gt;"",PaymentSchedule4[[#This Row],[BEGINNING BALANCE]]*(InterestRate/PaymentsPerYear),"")</f>
        <v>548.73324794844552</v>
      </c>
      <c r="J3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146117.57140279509</v>
      </c>
      <c r="K34" s="32">
        <f>IF(PaymentSchedule4[[#This Row],[PMT NO]]&lt;&gt;"",SUM(INDEX(PaymentSchedule4[INTEREST],1,1):PaymentSchedule4[[#This Row],[INTEREST]]),"")</f>
        <v>10558.102732832596</v>
      </c>
    </row>
    <row r="35" spans="2:11" x14ac:dyDescent="0.3">
      <c r="B35" s="30">
        <f>IF(LoanIsGood,IF(ROW()-ROW(PaymentSchedule4[[#Headers],[PMT NO]])&gt;ScheduledNumberOfPayments,"",ROW()-ROW(PaymentSchedule4[[#Headers],[PMT NO]])),"")</f>
        <v>20</v>
      </c>
      <c r="C35" s="31">
        <f>IF(PaymentSchedule4[[#This Row],[PMT NO]]&lt;&gt;"",EOMONTH(LoanStartDate,ROW(PaymentSchedule4[[#This Row],[PMT NO]])-ROW(PaymentSchedule4[[#Headers],[PMT NO]])-2)+DAY(LoanStartDate),"")</f>
        <v>43952</v>
      </c>
      <c r="D35" s="32">
        <f>IF(PaymentSchedule4[[#This Row],[PMT NO]]&lt;&gt;"",IF(ROW()-ROW(PaymentSchedule4[[#Headers],[BEGINNING BALANCE]])=1,LoanAmount,INDEX(PaymentSchedule4[ENDING BALANCE],ROW()-ROW(PaymentSchedule4[[#Headers],[BEGINNING BALANCE]])-1)),"")</f>
        <v>146117.57140279509</v>
      </c>
      <c r="E35" s="32">
        <f>IF(PaymentSchedule4[[#This Row],[PMT NO]]&lt;&gt;"",ScheduledPayment,"")</f>
        <v>760.02796473882097</v>
      </c>
      <c r="F3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5" s="32">
        <f>IF(PaymentSchedule4[[#This Row],[PMT NO]]&lt;&gt;"",PaymentSchedule4[[#This Row],[TOTAL PAYMENT]]-PaymentSchedule4[[#This Row],[INTEREST]],"")</f>
        <v>212.0870719783394</v>
      </c>
      <c r="I35" s="32">
        <f>IF(PaymentSchedule4[[#This Row],[PMT NO]]&lt;&gt;"",PaymentSchedule4[[#This Row],[BEGINNING BALANCE]]*(InterestRate/PaymentsPerYear),"")</f>
        <v>547.94089276048157</v>
      </c>
      <c r="J3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145905.48433081675</v>
      </c>
      <c r="K35" s="32">
        <f>IF(PaymentSchedule4[[#This Row],[PMT NO]]&lt;&gt;"",SUM(INDEX(PaymentSchedule4[INTEREST],1,1):PaymentSchedule4[[#This Row],[INTEREST]]),"")</f>
        <v>11106.043625593078</v>
      </c>
    </row>
    <row r="36" spans="2:11" x14ac:dyDescent="0.3">
      <c r="B36" s="30">
        <f>IF(LoanIsGood,IF(ROW()-ROW(PaymentSchedule4[[#Headers],[PMT NO]])&gt;ScheduledNumberOfPayments,"",ROW()-ROW(PaymentSchedule4[[#Headers],[PMT NO]])),"")</f>
        <v>21</v>
      </c>
      <c r="C36" s="31">
        <f>IF(PaymentSchedule4[[#This Row],[PMT NO]]&lt;&gt;"",EOMONTH(LoanStartDate,ROW(PaymentSchedule4[[#This Row],[PMT NO]])-ROW(PaymentSchedule4[[#Headers],[PMT NO]])-2)+DAY(LoanStartDate),"")</f>
        <v>43983</v>
      </c>
      <c r="D36" s="32">
        <f>IF(PaymentSchedule4[[#This Row],[PMT NO]]&lt;&gt;"",IF(ROW()-ROW(PaymentSchedule4[[#Headers],[BEGINNING BALANCE]])=1,LoanAmount,INDEX(PaymentSchedule4[ENDING BALANCE],ROW()-ROW(PaymentSchedule4[[#Headers],[BEGINNING BALANCE]])-1)),"")</f>
        <v>145905.48433081675</v>
      </c>
      <c r="E36" s="32">
        <f>IF(PaymentSchedule4[[#This Row],[PMT NO]]&lt;&gt;"",ScheduledPayment,"")</f>
        <v>760.02796473882097</v>
      </c>
      <c r="F3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6" s="32">
        <f>IF(PaymentSchedule4[[#This Row],[PMT NO]]&lt;&gt;"",PaymentSchedule4[[#This Row],[TOTAL PAYMENT]]-PaymentSchedule4[[#This Row],[INTEREST]],"")</f>
        <v>212.88239849825823</v>
      </c>
      <c r="I36" s="32">
        <f>IF(PaymentSchedule4[[#This Row],[PMT NO]]&lt;&gt;"",PaymentSchedule4[[#This Row],[BEGINNING BALANCE]]*(InterestRate/PaymentsPerYear),"")</f>
        <v>547.14556624056274</v>
      </c>
      <c r="J3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145692.6019323185</v>
      </c>
      <c r="K36" s="32">
        <f>IF(PaymentSchedule4[[#This Row],[PMT NO]]&lt;&gt;"",SUM(INDEX(PaymentSchedule4[INTEREST],1,1):PaymentSchedule4[[#This Row],[INTEREST]]),"")</f>
        <v>11653.189191833641</v>
      </c>
    </row>
    <row r="37" spans="2:11" x14ac:dyDescent="0.3">
      <c r="B37" s="30">
        <f>IF(LoanIsGood,IF(ROW()-ROW(PaymentSchedule4[[#Headers],[PMT NO]])&gt;ScheduledNumberOfPayments,"",ROW()-ROW(PaymentSchedule4[[#Headers],[PMT NO]])),"")</f>
        <v>22</v>
      </c>
      <c r="C37" s="31">
        <f>IF(PaymentSchedule4[[#This Row],[PMT NO]]&lt;&gt;"",EOMONTH(LoanStartDate,ROW(PaymentSchedule4[[#This Row],[PMT NO]])-ROW(PaymentSchedule4[[#Headers],[PMT NO]])-2)+DAY(LoanStartDate),"")</f>
        <v>44013</v>
      </c>
      <c r="D37" s="32">
        <f>IF(PaymentSchedule4[[#This Row],[PMT NO]]&lt;&gt;"",IF(ROW()-ROW(PaymentSchedule4[[#Headers],[BEGINNING BALANCE]])=1,LoanAmount,INDEX(PaymentSchedule4[ENDING BALANCE],ROW()-ROW(PaymentSchedule4[[#Headers],[BEGINNING BALANCE]])-1)),"")</f>
        <v>145692.6019323185</v>
      </c>
      <c r="E37" s="32">
        <f>IF(PaymentSchedule4[[#This Row],[PMT NO]]&lt;&gt;"",ScheduledPayment,"")</f>
        <v>760.02796473882097</v>
      </c>
      <c r="F3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7" s="32">
        <f>IF(PaymentSchedule4[[#This Row],[PMT NO]]&lt;&gt;"",PaymentSchedule4[[#This Row],[TOTAL PAYMENT]]-PaymentSchedule4[[#This Row],[INTEREST]],"")</f>
        <v>213.68070749262665</v>
      </c>
      <c r="I37" s="32">
        <f>IF(PaymentSchedule4[[#This Row],[PMT NO]]&lt;&gt;"",PaymentSchedule4[[#This Row],[BEGINNING BALANCE]]*(InterestRate/PaymentsPerYear),"")</f>
        <v>546.34725724619432</v>
      </c>
      <c r="J3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145478.92122482587</v>
      </c>
      <c r="K37" s="32">
        <f>IF(PaymentSchedule4[[#This Row],[PMT NO]]&lt;&gt;"",SUM(INDEX(PaymentSchedule4[INTEREST],1,1):PaymentSchedule4[[#This Row],[INTEREST]]),"")</f>
        <v>12199.536449079835</v>
      </c>
    </row>
    <row r="38" spans="2:11" x14ac:dyDescent="0.3">
      <c r="B38" s="30">
        <f>IF(LoanIsGood,IF(ROW()-ROW(PaymentSchedule4[[#Headers],[PMT NO]])&gt;ScheduledNumberOfPayments,"",ROW()-ROW(PaymentSchedule4[[#Headers],[PMT NO]])),"")</f>
        <v>23</v>
      </c>
      <c r="C38" s="31">
        <f>IF(PaymentSchedule4[[#This Row],[PMT NO]]&lt;&gt;"",EOMONTH(LoanStartDate,ROW(PaymentSchedule4[[#This Row],[PMT NO]])-ROW(PaymentSchedule4[[#Headers],[PMT NO]])-2)+DAY(LoanStartDate),"")</f>
        <v>44044</v>
      </c>
      <c r="D38" s="32">
        <f>IF(PaymentSchedule4[[#This Row],[PMT NO]]&lt;&gt;"",IF(ROW()-ROW(PaymentSchedule4[[#Headers],[BEGINNING BALANCE]])=1,LoanAmount,INDEX(PaymentSchedule4[ENDING BALANCE],ROW()-ROW(PaymentSchedule4[[#Headers],[BEGINNING BALANCE]])-1)),"")</f>
        <v>145478.92122482587</v>
      </c>
      <c r="E38" s="32">
        <f>IF(PaymentSchedule4[[#This Row],[PMT NO]]&lt;&gt;"",ScheduledPayment,"")</f>
        <v>760.02796473882097</v>
      </c>
      <c r="F3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8" s="32">
        <f>IF(PaymentSchedule4[[#This Row],[PMT NO]]&lt;&gt;"",PaymentSchedule4[[#This Row],[TOTAL PAYMENT]]-PaymentSchedule4[[#This Row],[INTEREST]],"")</f>
        <v>214.48201014572396</v>
      </c>
      <c r="I38" s="32">
        <f>IF(PaymentSchedule4[[#This Row],[PMT NO]]&lt;&gt;"",PaymentSchedule4[[#This Row],[BEGINNING BALANCE]]*(InterestRate/PaymentsPerYear),"")</f>
        <v>545.54595459309701</v>
      </c>
      <c r="J3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145264.43921468014</v>
      </c>
      <c r="K38" s="32">
        <f>IF(PaymentSchedule4[[#This Row],[PMT NO]]&lt;&gt;"",SUM(INDEX(PaymentSchedule4[INTEREST],1,1):PaymentSchedule4[[#This Row],[INTEREST]]),"")</f>
        <v>12745.082403672932</v>
      </c>
    </row>
    <row r="39" spans="2:11" x14ac:dyDescent="0.3">
      <c r="B39" s="30">
        <f>IF(LoanIsGood,IF(ROW()-ROW(PaymentSchedule4[[#Headers],[PMT NO]])&gt;ScheduledNumberOfPayments,"",ROW()-ROW(PaymentSchedule4[[#Headers],[PMT NO]])),"")</f>
        <v>24</v>
      </c>
      <c r="C39" s="31">
        <f>IF(PaymentSchedule4[[#This Row],[PMT NO]]&lt;&gt;"",EOMONTH(LoanStartDate,ROW(PaymentSchedule4[[#This Row],[PMT NO]])-ROW(PaymentSchedule4[[#Headers],[PMT NO]])-2)+DAY(LoanStartDate),"")</f>
        <v>44075</v>
      </c>
      <c r="D39" s="32">
        <f>IF(PaymentSchedule4[[#This Row],[PMT NO]]&lt;&gt;"",IF(ROW()-ROW(PaymentSchedule4[[#Headers],[BEGINNING BALANCE]])=1,LoanAmount,INDEX(PaymentSchedule4[ENDING BALANCE],ROW()-ROW(PaymentSchedule4[[#Headers],[BEGINNING BALANCE]])-1)),"")</f>
        <v>145264.43921468014</v>
      </c>
      <c r="E39" s="32">
        <f>IF(PaymentSchedule4[[#This Row],[PMT NO]]&lt;&gt;"",ScheduledPayment,"")</f>
        <v>760.02796473882097</v>
      </c>
      <c r="F3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9" s="32">
        <f>IF(PaymentSchedule4[[#This Row],[PMT NO]]&lt;&gt;"",PaymentSchedule4[[#This Row],[TOTAL PAYMENT]]-PaymentSchedule4[[#This Row],[INTEREST]],"")</f>
        <v>215.28631768377045</v>
      </c>
      <c r="I39" s="32">
        <f>IF(PaymentSchedule4[[#This Row],[PMT NO]]&lt;&gt;"",PaymentSchedule4[[#This Row],[BEGINNING BALANCE]]*(InterestRate/PaymentsPerYear),"")</f>
        <v>544.74164705505052</v>
      </c>
      <c r="J3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145049.15289699638</v>
      </c>
      <c r="K39" s="32">
        <f>IF(PaymentSchedule4[[#This Row],[PMT NO]]&lt;&gt;"",SUM(INDEX(PaymentSchedule4[INTEREST],1,1):PaymentSchedule4[[#This Row],[INTEREST]]),"")</f>
        <v>13289.824050727982</v>
      </c>
    </row>
    <row r="40" spans="2:11" x14ac:dyDescent="0.3">
      <c r="B40" s="30">
        <f>IF(LoanIsGood,IF(ROW()-ROW(PaymentSchedule4[[#Headers],[PMT NO]])&gt;ScheduledNumberOfPayments,"",ROW()-ROW(PaymentSchedule4[[#Headers],[PMT NO]])),"")</f>
        <v>25</v>
      </c>
      <c r="C40" s="31">
        <f>IF(PaymentSchedule4[[#This Row],[PMT NO]]&lt;&gt;"",EOMONTH(LoanStartDate,ROW(PaymentSchedule4[[#This Row],[PMT NO]])-ROW(PaymentSchedule4[[#Headers],[PMT NO]])-2)+DAY(LoanStartDate),"")</f>
        <v>44105</v>
      </c>
      <c r="D40" s="32">
        <f>IF(PaymentSchedule4[[#This Row],[PMT NO]]&lt;&gt;"",IF(ROW()-ROW(PaymentSchedule4[[#Headers],[BEGINNING BALANCE]])=1,LoanAmount,INDEX(PaymentSchedule4[ENDING BALANCE],ROW()-ROW(PaymentSchedule4[[#Headers],[BEGINNING BALANCE]])-1)),"")</f>
        <v>145049.15289699638</v>
      </c>
      <c r="E40" s="32">
        <f>IF(PaymentSchedule4[[#This Row],[PMT NO]]&lt;&gt;"",ScheduledPayment,"")</f>
        <v>760.02796473882097</v>
      </c>
      <c r="F4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4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40" s="32">
        <f>IF(PaymentSchedule4[[#This Row],[PMT NO]]&lt;&gt;"",PaymentSchedule4[[#This Row],[TOTAL PAYMENT]]-PaymentSchedule4[[#This Row],[INTEREST]],"")</f>
        <v>216.09364137508453</v>
      </c>
      <c r="I40" s="32">
        <f>IF(PaymentSchedule4[[#This Row],[PMT NO]]&lt;&gt;"",PaymentSchedule4[[#This Row],[BEGINNING BALANCE]]*(InterestRate/PaymentsPerYear),"")</f>
        <v>543.93432336373644</v>
      </c>
      <c r="J4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144833.05925562131</v>
      </c>
      <c r="K40" s="32">
        <f>IF(PaymentSchedule4[[#This Row],[PMT NO]]&lt;&gt;"",SUM(INDEX(PaymentSchedule4[INTEREST],1,1):PaymentSchedule4[[#This Row],[INTEREST]]),"")</f>
        <v>13833.758374091718</v>
      </c>
    </row>
    <row r="41" spans="2:11" x14ac:dyDescent="0.3">
      <c r="B41" s="30">
        <f>IF(LoanIsGood,IF(ROW()-ROW(PaymentSchedule4[[#Headers],[PMT NO]])&gt;ScheduledNumberOfPayments,"",ROW()-ROW(PaymentSchedule4[[#Headers],[PMT NO]])),"")</f>
        <v>26</v>
      </c>
      <c r="C41" s="31">
        <f>IF(PaymentSchedule4[[#This Row],[PMT NO]]&lt;&gt;"",EOMONTH(LoanStartDate,ROW(PaymentSchedule4[[#This Row],[PMT NO]])-ROW(PaymentSchedule4[[#Headers],[PMT NO]])-2)+DAY(LoanStartDate),"")</f>
        <v>44136</v>
      </c>
      <c r="D41" s="32">
        <f>IF(PaymentSchedule4[[#This Row],[PMT NO]]&lt;&gt;"",IF(ROW()-ROW(PaymentSchedule4[[#Headers],[BEGINNING BALANCE]])=1,LoanAmount,INDEX(PaymentSchedule4[ENDING BALANCE],ROW()-ROW(PaymentSchedule4[[#Headers],[BEGINNING BALANCE]])-1)),"")</f>
        <v>144833.05925562131</v>
      </c>
      <c r="E41" s="32">
        <f>IF(PaymentSchedule4[[#This Row],[PMT NO]]&lt;&gt;"",ScheduledPayment,"")</f>
        <v>760.02796473882097</v>
      </c>
      <c r="F4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4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41" s="32">
        <f>IF(PaymentSchedule4[[#This Row],[PMT NO]]&lt;&gt;"",PaymentSchedule4[[#This Row],[TOTAL PAYMENT]]-PaymentSchedule4[[#This Row],[INTEREST]],"")</f>
        <v>216.90399253024111</v>
      </c>
      <c r="I41" s="32">
        <f>IF(PaymentSchedule4[[#This Row],[PMT NO]]&lt;&gt;"",PaymentSchedule4[[#This Row],[BEGINNING BALANCE]]*(InterestRate/PaymentsPerYear),"")</f>
        <v>543.12397220857986</v>
      </c>
      <c r="J4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144616.15526309106</v>
      </c>
      <c r="K41" s="32">
        <f>IF(PaymentSchedule4[[#This Row],[PMT NO]]&lt;&gt;"",SUM(INDEX(PaymentSchedule4[INTEREST],1,1):PaymentSchedule4[[#This Row],[INTEREST]]),"")</f>
        <v>14376.882346300297</v>
      </c>
    </row>
    <row r="42" spans="2:11" x14ac:dyDescent="0.3">
      <c r="B42" s="30">
        <f>IF(LoanIsGood,IF(ROW()-ROW(PaymentSchedule4[[#Headers],[PMT NO]])&gt;ScheduledNumberOfPayments,"",ROW()-ROW(PaymentSchedule4[[#Headers],[PMT NO]])),"")</f>
        <v>27</v>
      </c>
      <c r="C42" s="31">
        <f>IF(PaymentSchedule4[[#This Row],[PMT NO]]&lt;&gt;"",EOMONTH(LoanStartDate,ROW(PaymentSchedule4[[#This Row],[PMT NO]])-ROW(PaymentSchedule4[[#Headers],[PMT NO]])-2)+DAY(LoanStartDate),"")</f>
        <v>44166</v>
      </c>
      <c r="D42" s="32">
        <f>IF(PaymentSchedule4[[#This Row],[PMT NO]]&lt;&gt;"",IF(ROW()-ROW(PaymentSchedule4[[#Headers],[BEGINNING BALANCE]])=1,LoanAmount,INDEX(PaymentSchedule4[ENDING BALANCE],ROW()-ROW(PaymentSchedule4[[#Headers],[BEGINNING BALANCE]])-1)),"")</f>
        <v>144616.15526309106</v>
      </c>
      <c r="E42" s="32">
        <f>IF(PaymentSchedule4[[#This Row],[PMT NO]]&lt;&gt;"",ScheduledPayment,"")</f>
        <v>760.02796473882097</v>
      </c>
      <c r="F4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4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42" s="32">
        <f>IF(PaymentSchedule4[[#This Row],[PMT NO]]&lt;&gt;"",PaymentSchedule4[[#This Row],[TOTAL PAYMENT]]-PaymentSchedule4[[#This Row],[INTEREST]],"")</f>
        <v>217.7173825022295</v>
      </c>
      <c r="I42" s="32">
        <f>IF(PaymentSchedule4[[#This Row],[PMT NO]]&lt;&gt;"",PaymentSchedule4[[#This Row],[BEGINNING BALANCE]]*(InterestRate/PaymentsPerYear),"")</f>
        <v>542.31058223659147</v>
      </c>
      <c r="J4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144398.43788058884</v>
      </c>
      <c r="K42" s="32">
        <f>IF(PaymentSchedule4[[#This Row],[PMT NO]]&lt;&gt;"",SUM(INDEX(PaymentSchedule4[INTEREST],1,1):PaymentSchedule4[[#This Row],[INTEREST]]),"")</f>
        <v>14919.19292853689</v>
      </c>
    </row>
    <row r="43" spans="2:11" x14ac:dyDescent="0.3">
      <c r="B43" s="30">
        <f>IF(LoanIsGood,IF(ROW()-ROW(PaymentSchedule4[[#Headers],[PMT NO]])&gt;ScheduledNumberOfPayments,"",ROW()-ROW(PaymentSchedule4[[#Headers],[PMT NO]])),"")</f>
        <v>28</v>
      </c>
      <c r="C43" s="31">
        <f>IF(PaymentSchedule4[[#This Row],[PMT NO]]&lt;&gt;"",EOMONTH(LoanStartDate,ROW(PaymentSchedule4[[#This Row],[PMT NO]])-ROW(PaymentSchedule4[[#Headers],[PMT NO]])-2)+DAY(LoanStartDate),"")</f>
        <v>44197</v>
      </c>
      <c r="D43" s="32">
        <f>IF(PaymentSchedule4[[#This Row],[PMT NO]]&lt;&gt;"",IF(ROW()-ROW(PaymentSchedule4[[#Headers],[BEGINNING BALANCE]])=1,LoanAmount,INDEX(PaymentSchedule4[ENDING BALANCE],ROW()-ROW(PaymentSchedule4[[#Headers],[BEGINNING BALANCE]])-1)),"")</f>
        <v>144398.43788058884</v>
      </c>
      <c r="E43" s="32">
        <f>IF(PaymentSchedule4[[#This Row],[PMT NO]]&lt;&gt;"",ScheduledPayment,"")</f>
        <v>760.02796473882097</v>
      </c>
      <c r="F4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4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43" s="32">
        <f>IF(PaymentSchedule4[[#This Row],[PMT NO]]&lt;&gt;"",PaymentSchedule4[[#This Row],[TOTAL PAYMENT]]-PaymentSchedule4[[#This Row],[INTEREST]],"")</f>
        <v>218.53382268661278</v>
      </c>
      <c r="I43" s="32">
        <f>IF(PaymentSchedule4[[#This Row],[PMT NO]]&lt;&gt;"",PaymentSchedule4[[#This Row],[BEGINNING BALANCE]]*(InterestRate/PaymentsPerYear),"")</f>
        <v>541.49414205220819</v>
      </c>
      <c r="J4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144179.90405790223</v>
      </c>
      <c r="K43" s="32">
        <f>IF(PaymentSchedule4[[#This Row],[PMT NO]]&lt;&gt;"",SUM(INDEX(PaymentSchedule4[INTEREST],1,1):PaymentSchedule4[[#This Row],[INTEREST]]),"")</f>
        <v>15460.687070589098</v>
      </c>
    </row>
    <row r="44" spans="2:11" x14ac:dyDescent="0.3">
      <c r="B44" s="30">
        <f>IF(LoanIsGood,IF(ROW()-ROW(PaymentSchedule4[[#Headers],[PMT NO]])&gt;ScheduledNumberOfPayments,"",ROW()-ROW(PaymentSchedule4[[#Headers],[PMT NO]])),"")</f>
        <v>29</v>
      </c>
      <c r="C44" s="31">
        <f>IF(PaymentSchedule4[[#This Row],[PMT NO]]&lt;&gt;"",EOMONTH(LoanStartDate,ROW(PaymentSchedule4[[#This Row],[PMT NO]])-ROW(PaymentSchedule4[[#Headers],[PMT NO]])-2)+DAY(LoanStartDate),"")</f>
        <v>44228</v>
      </c>
      <c r="D44" s="32">
        <f>IF(PaymentSchedule4[[#This Row],[PMT NO]]&lt;&gt;"",IF(ROW()-ROW(PaymentSchedule4[[#Headers],[BEGINNING BALANCE]])=1,LoanAmount,INDEX(PaymentSchedule4[ENDING BALANCE],ROW()-ROW(PaymentSchedule4[[#Headers],[BEGINNING BALANCE]])-1)),"")</f>
        <v>144179.90405790223</v>
      </c>
      <c r="E44" s="32">
        <f>IF(PaymentSchedule4[[#This Row],[PMT NO]]&lt;&gt;"",ScheduledPayment,"")</f>
        <v>760.02796473882097</v>
      </c>
      <c r="F4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4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44" s="32">
        <f>IF(PaymentSchedule4[[#This Row],[PMT NO]]&lt;&gt;"",PaymentSchedule4[[#This Row],[TOTAL PAYMENT]]-PaymentSchedule4[[#This Row],[INTEREST]],"")</f>
        <v>219.35332452168768</v>
      </c>
      <c r="I44" s="32">
        <f>IF(PaymentSchedule4[[#This Row],[PMT NO]]&lt;&gt;"",PaymentSchedule4[[#This Row],[BEGINNING BALANCE]]*(InterestRate/PaymentsPerYear),"")</f>
        <v>540.67464021713329</v>
      </c>
      <c r="J4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143960.55073338054</v>
      </c>
      <c r="K44" s="32">
        <f>IF(PaymentSchedule4[[#This Row],[PMT NO]]&lt;&gt;"",SUM(INDEX(PaymentSchedule4[INTEREST],1,1):PaymentSchedule4[[#This Row],[INTEREST]]),"")</f>
        <v>16001.361710806232</v>
      </c>
    </row>
    <row r="45" spans="2:11" x14ac:dyDescent="0.3">
      <c r="B45" s="30">
        <f>IF(LoanIsGood,IF(ROW()-ROW(PaymentSchedule4[[#Headers],[PMT NO]])&gt;ScheduledNumberOfPayments,"",ROW()-ROW(PaymentSchedule4[[#Headers],[PMT NO]])),"")</f>
        <v>30</v>
      </c>
      <c r="C45" s="31">
        <f>IF(PaymentSchedule4[[#This Row],[PMT NO]]&lt;&gt;"",EOMONTH(LoanStartDate,ROW(PaymentSchedule4[[#This Row],[PMT NO]])-ROW(PaymentSchedule4[[#Headers],[PMT NO]])-2)+DAY(LoanStartDate),"")</f>
        <v>44256</v>
      </c>
      <c r="D45" s="32">
        <f>IF(PaymentSchedule4[[#This Row],[PMT NO]]&lt;&gt;"",IF(ROW()-ROW(PaymentSchedule4[[#Headers],[BEGINNING BALANCE]])=1,LoanAmount,INDEX(PaymentSchedule4[ENDING BALANCE],ROW()-ROW(PaymentSchedule4[[#Headers],[BEGINNING BALANCE]])-1)),"")</f>
        <v>143960.55073338054</v>
      </c>
      <c r="E45" s="32">
        <f>IF(PaymentSchedule4[[#This Row],[PMT NO]]&lt;&gt;"",ScheduledPayment,"")</f>
        <v>760.02796473882097</v>
      </c>
      <c r="F4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4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45" s="32">
        <f>IF(PaymentSchedule4[[#This Row],[PMT NO]]&lt;&gt;"",PaymentSchedule4[[#This Row],[TOTAL PAYMENT]]-PaymentSchedule4[[#This Row],[INTEREST]],"")</f>
        <v>220.17589948864395</v>
      </c>
      <c r="I45" s="32">
        <f>IF(PaymentSchedule4[[#This Row],[PMT NO]]&lt;&gt;"",PaymentSchedule4[[#This Row],[BEGINNING BALANCE]]*(InterestRate/PaymentsPerYear),"")</f>
        <v>539.85206525017702</v>
      </c>
      <c r="J4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143740.3748338919</v>
      </c>
      <c r="K45" s="32">
        <f>IF(PaymentSchedule4[[#This Row],[PMT NO]]&lt;&gt;"",SUM(INDEX(PaymentSchedule4[INTEREST],1,1):PaymentSchedule4[[#This Row],[INTEREST]]),"")</f>
        <v>16541.213776056407</v>
      </c>
    </row>
    <row r="46" spans="2:11" x14ac:dyDescent="0.3">
      <c r="B46" s="30">
        <f>IF(LoanIsGood,IF(ROW()-ROW(PaymentSchedule4[[#Headers],[PMT NO]])&gt;ScheduledNumberOfPayments,"",ROW()-ROW(PaymentSchedule4[[#Headers],[PMT NO]])),"")</f>
        <v>31</v>
      </c>
      <c r="C46" s="31">
        <f>IF(PaymentSchedule4[[#This Row],[PMT NO]]&lt;&gt;"",EOMONTH(LoanStartDate,ROW(PaymentSchedule4[[#This Row],[PMT NO]])-ROW(PaymentSchedule4[[#Headers],[PMT NO]])-2)+DAY(LoanStartDate),"")</f>
        <v>44287</v>
      </c>
      <c r="D46" s="32">
        <f>IF(PaymentSchedule4[[#This Row],[PMT NO]]&lt;&gt;"",IF(ROW()-ROW(PaymentSchedule4[[#Headers],[BEGINNING BALANCE]])=1,LoanAmount,INDEX(PaymentSchedule4[ENDING BALANCE],ROW()-ROW(PaymentSchedule4[[#Headers],[BEGINNING BALANCE]])-1)),"")</f>
        <v>143740.3748338919</v>
      </c>
      <c r="E46" s="32">
        <f>IF(PaymentSchedule4[[#This Row],[PMT NO]]&lt;&gt;"",ScheduledPayment,"")</f>
        <v>760.02796473882097</v>
      </c>
      <c r="F4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4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46" s="32">
        <f>IF(PaymentSchedule4[[#This Row],[PMT NO]]&lt;&gt;"",PaymentSchedule4[[#This Row],[TOTAL PAYMENT]]-PaymentSchedule4[[#This Row],[INTEREST]],"")</f>
        <v>221.00155911172635</v>
      </c>
      <c r="I46" s="32">
        <f>IF(PaymentSchedule4[[#This Row],[PMT NO]]&lt;&gt;"",PaymentSchedule4[[#This Row],[BEGINNING BALANCE]]*(InterestRate/PaymentsPerYear),"")</f>
        <v>539.02640562709462</v>
      </c>
      <c r="J4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143519.37327478017</v>
      </c>
      <c r="K46" s="32">
        <f>IF(PaymentSchedule4[[#This Row],[PMT NO]]&lt;&gt;"",SUM(INDEX(PaymentSchedule4[INTEREST],1,1):PaymentSchedule4[[#This Row],[INTEREST]]),"")</f>
        <v>17080.240181683501</v>
      </c>
    </row>
    <row r="47" spans="2:11" x14ac:dyDescent="0.3">
      <c r="B47" s="30">
        <f>IF(LoanIsGood,IF(ROW()-ROW(PaymentSchedule4[[#Headers],[PMT NO]])&gt;ScheduledNumberOfPayments,"",ROW()-ROW(PaymentSchedule4[[#Headers],[PMT NO]])),"")</f>
        <v>32</v>
      </c>
      <c r="C47" s="31">
        <f>IF(PaymentSchedule4[[#This Row],[PMT NO]]&lt;&gt;"",EOMONTH(LoanStartDate,ROW(PaymentSchedule4[[#This Row],[PMT NO]])-ROW(PaymentSchedule4[[#Headers],[PMT NO]])-2)+DAY(LoanStartDate),"")</f>
        <v>44317</v>
      </c>
      <c r="D47" s="32">
        <f>IF(PaymentSchedule4[[#This Row],[PMT NO]]&lt;&gt;"",IF(ROW()-ROW(PaymentSchedule4[[#Headers],[BEGINNING BALANCE]])=1,LoanAmount,INDEX(PaymentSchedule4[ENDING BALANCE],ROW()-ROW(PaymentSchedule4[[#Headers],[BEGINNING BALANCE]])-1)),"")</f>
        <v>143519.37327478017</v>
      </c>
      <c r="E47" s="32">
        <f>IF(PaymentSchedule4[[#This Row],[PMT NO]]&lt;&gt;"",ScheduledPayment,"")</f>
        <v>760.02796473882097</v>
      </c>
      <c r="F4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4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47" s="32">
        <f>IF(PaymentSchedule4[[#This Row],[PMT NO]]&lt;&gt;"",PaymentSchedule4[[#This Row],[TOTAL PAYMENT]]-PaymentSchedule4[[#This Row],[INTEREST]],"")</f>
        <v>221.83031495839532</v>
      </c>
      <c r="I47" s="32">
        <f>IF(PaymentSchedule4[[#This Row],[PMT NO]]&lt;&gt;"",PaymentSchedule4[[#This Row],[BEGINNING BALANCE]]*(InterestRate/PaymentsPerYear),"")</f>
        <v>538.19764978042565</v>
      </c>
      <c r="J4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143297.54295982176</v>
      </c>
      <c r="K47" s="32">
        <f>IF(PaymentSchedule4[[#This Row],[PMT NO]]&lt;&gt;"",SUM(INDEX(PaymentSchedule4[INTEREST],1,1):PaymentSchedule4[[#This Row],[INTEREST]]),"")</f>
        <v>17618.437831463925</v>
      </c>
    </row>
    <row r="48" spans="2:11" x14ac:dyDescent="0.3">
      <c r="B48" s="30">
        <f>IF(LoanIsGood,IF(ROW()-ROW(PaymentSchedule4[[#Headers],[PMT NO]])&gt;ScheduledNumberOfPayments,"",ROW()-ROW(PaymentSchedule4[[#Headers],[PMT NO]])),"")</f>
        <v>33</v>
      </c>
      <c r="C48" s="31">
        <f>IF(PaymentSchedule4[[#This Row],[PMT NO]]&lt;&gt;"",EOMONTH(LoanStartDate,ROW(PaymentSchedule4[[#This Row],[PMT NO]])-ROW(PaymentSchedule4[[#Headers],[PMT NO]])-2)+DAY(LoanStartDate),"")</f>
        <v>44348</v>
      </c>
      <c r="D48" s="32">
        <f>IF(PaymentSchedule4[[#This Row],[PMT NO]]&lt;&gt;"",IF(ROW()-ROW(PaymentSchedule4[[#Headers],[BEGINNING BALANCE]])=1,LoanAmount,INDEX(PaymentSchedule4[ENDING BALANCE],ROW()-ROW(PaymentSchedule4[[#Headers],[BEGINNING BALANCE]])-1)),"")</f>
        <v>143297.54295982176</v>
      </c>
      <c r="E48" s="32">
        <f>IF(PaymentSchedule4[[#This Row],[PMT NO]]&lt;&gt;"",ScheduledPayment,"")</f>
        <v>760.02796473882097</v>
      </c>
      <c r="F4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4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48" s="32">
        <f>IF(PaymentSchedule4[[#This Row],[PMT NO]]&lt;&gt;"",PaymentSchedule4[[#This Row],[TOTAL PAYMENT]]-PaymentSchedule4[[#This Row],[INTEREST]],"")</f>
        <v>222.66217863948941</v>
      </c>
      <c r="I48" s="32">
        <f>IF(PaymentSchedule4[[#This Row],[PMT NO]]&lt;&gt;"",PaymentSchedule4[[#This Row],[BEGINNING BALANCE]]*(InterestRate/PaymentsPerYear),"")</f>
        <v>537.36578609933156</v>
      </c>
      <c r="J4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143074.88078118226</v>
      </c>
      <c r="K48" s="32">
        <f>IF(PaymentSchedule4[[#This Row],[PMT NO]]&lt;&gt;"",SUM(INDEX(PaymentSchedule4[INTEREST],1,1):PaymentSchedule4[[#This Row],[INTEREST]]),"")</f>
        <v>18155.803617563255</v>
      </c>
    </row>
    <row r="49" spans="2:11" x14ac:dyDescent="0.3">
      <c r="B49" s="30">
        <f>IF(LoanIsGood,IF(ROW()-ROW(PaymentSchedule4[[#Headers],[PMT NO]])&gt;ScheduledNumberOfPayments,"",ROW()-ROW(PaymentSchedule4[[#Headers],[PMT NO]])),"")</f>
        <v>34</v>
      </c>
      <c r="C49" s="31">
        <f>IF(PaymentSchedule4[[#This Row],[PMT NO]]&lt;&gt;"",EOMONTH(LoanStartDate,ROW(PaymentSchedule4[[#This Row],[PMT NO]])-ROW(PaymentSchedule4[[#Headers],[PMT NO]])-2)+DAY(LoanStartDate),"")</f>
        <v>44378</v>
      </c>
      <c r="D49" s="32">
        <f>IF(PaymentSchedule4[[#This Row],[PMT NO]]&lt;&gt;"",IF(ROW()-ROW(PaymentSchedule4[[#Headers],[BEGINNING BALANCE]])=1,LoanAmount,INDEX(PaymentSchedule4[ENDING BALANCE],ROW()-ROW(PaymentSchedule4[[#Headers],[BEGINNING BALANCE]])-1)),"")</f>
        <v>143074.88078118226</v>
      </c>
      <c r="E49" s="32">
        <f>IF(PaymentSchedule4[[#This Row],[PMT NO]]&lt;&gt;"",ScheduledPayment,"")</f>
        <v>760.02796473882097</v>
      </c>
      <c r="F4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4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49" s="32">
        <f>IF(PaymentSchedule4[[#This Row],[PMT NO]]&lt;&gt;"",PaymentSchedule4[[#This Row],[TOTAL PAYMENT]]-PaymentSchedule4[[#This Row],[INTEREST]],"")</f>
        <v>223.49716180938753</v>
      </c>
      <c r="I49" s="32">
        <f>IF(PaymentSchedule4[[#This Row],[PMT NO]]&lt;&gt;"",PaymentSchedule4[[#This Row],[BEGINNING BALANCE]]*(InterestRate/PaymentsPerYear),"")</f>
        <v>536.53080292943343</v>
      </c>
      <c r="J4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142851.38361937288</v>
      </c>
      <c r="K49" s="32">
        <f>IF(PaymentSchedule4[[#This Row],[PMT NO]]&lt;&gt;"",SUM(INDEX(PaymentSchedule4[INTEREST],1,1):PaymentSchedule4[[#This Row],[INTEREST]]),"")</f>
        <v>18692.334420492687</v>
      </c>
    </row>
    <row r="50" spans="2:11" x14ac:dyDescent="0.3">
      <c r="B50" s="30">
        <f>IF(LoanIsGood,IF(ROW()-ROW(PaymentSchedule4[[#Headers],[PMT NO]])&gt;ScheduledNumberOfPayments,"",ROW()-ROW(PaymentSchedule4[[#Headers],[PMT NO]])),"")</f>
        <v>35</v>
      </c>
      <c r="C50" s="31">
        <f>IF(PaymentSchedule4[[#This Row],[PMT NO]]&lt;&gt;"",EOMONTH(LoanStartDate,ROW(PaymentSchedule4[[#This Row],[PMT NO]])-ROW(PaymentSchedule4[[#Headers],[PMT NO]])-2)+DAY(LoanStartDate),"")</f>
        <v>44409</v>
      </c>
      <c r="D50" s="32">
        <f>IF(PaymentSchedule4[[#This Row],[PMT NO]]&lt;&gt;"",IF(ROW()-ROW(PaymentSchedule4[[#Headers],[BEGINNING BALANCE]])=1,LoanAmount,INDEX(PaymentSchedule4[ENDING BALANCE],ROW()-ROW(PaymentSchedule4[[#Headers],[BEGINNING BALANCE]])-1)),"")</f>
        <v>142851.38361937288</v>
      </c>
      <c r="E50" s="32">
        <f>IF(PaymentSchedule4[[#This Row],[PMT NO]]&lt;&gt;"",ScheduledPayment,"")</f>
        <v>760.02796473882097</v>
      </c>
      <c r="F5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5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50" s="32">
        <f>IF(PaymentSchedule4[[#This Row],[PMT NO]]&lt;&gt;"",PaymentSchedule4[[#This Row],[TOTAL PAYMENT]]-PaymentSchedule4[[#This Row],[INTEREST]],"")</f>
        <v>224.33527616617266</v>
      </c>
      <c r="I50" s="32">
        <f>IF(PaymentSchedule4[[#This Row],[PMT NO]]&lt;&gt;"",PaymentSchedule4[[#This Row],[BEGINNING BALANCE]]*(InterestRate/PaymentsPerYear),"")</f>
        <v>535.69268857264831</v>
      </c>
      <c r="J5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142627.0483432067</v>
      </c>
      <c r="K50" s="32">
        <f>IF(PaymentSchedule4[[#This Row],[PMT NO]]&lt;&gt;"",SUM(INDEX(PaymentSchedule4[INTEREST],1,1):PaymentSchedule4[[#This Row],[INTEREST]]),"")</f>
        <v>19228.027109065337</v>
      </c>
    </row>
    <row r="51" spans="2:11" x14ac:dyDescent="0.3">
      <c r="B51" s="30">
        <f>IF(LoanIsGood,IF(ROW()-ROW(PaymentSchedule4[[#Headers],[PMT NO]])&gt;ScheduledNumberOfPayments,"",ROW()-ROW(PaymentSchedule4[[#Headers],[PMT NO]])),"")</f>
        <v>36</v>
      </c>
      <c r="C51" s="31">
        <f>IF(PaymentSchedule4[[#This Row],[PMT NO]]&lt;&gt;"",EOMONTH(LoanStartDate,ROW(PaymentSchedule4[[#This Row],[PMT NO]])-ROW(PaymentSchedule4[[#Headers],[PMT NO]])-2)+DAY(LoanStartDate),"")</f>
        <v>44440</v>
      </c>
      <c r="D51" s="32">
        <f>IF(PaymentSchedule4[[#This Row],[PMT NO]]&lt;&gt;"",IF(ROW()-ROW(PaymentSchedule4[[#Headers],[BEGINNING BALANCE]])=1,LoanAmount,INDEX(PaymentSchedule4[ENDING BALANCE],ROW()-ROW(PaymentSchedule4[[#Headers],[BEGINNING BALANCE]])-1)),"")</f>
        <v>142627.0483432067</v>
      </c>
      <c r="E51" s="32">
        <f>IF(PaymentSchedule4[[#This Row],[PMT NO]]&lt;&gt;"",ScheduledPayment,"")</f>
        <v>760.02796473882097</v>
      </c>
      <c r="F5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5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51" s="32">
        <f>IF(PaymentSchedule4[[#This Row],[PMT NO]]&lt;&gt;"",PaymentSchedule4[[#This Row],[TOTAL PAYMENT]]-PaymentSchedule4[[#This Row],[INTEREST]],"")</f>
        <v>225.17653345179588</v>
      </c>
      <c r="I51" s="32">
        <f>IF(PaymentSchedule4[[#This Row],[PMT NO]]&lt;&gt;"",PaymentSchedule4[[#This Row],[BEGINNING BALANCE]]*(InterestRate/PaymentsPerYear),"")</f>
        <v>534.85143128702509</v>
      </c>
      <c r="J5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142401.8718097549</v>
      </c>
      <c r="K51" s="32">
        <f>IF(PaymentSchedule4[[#This Row],[PMT NO]]&lt;&gt;"",SUM(INDEX(PaymentSchedule4[INTEREST],1,1):PaymentSchedule4[[#This Row],[INTEREST]]),"")</f>
        <v>19762.878540352362</v>
      </c>
    </row>
    <row r="52" spans="2:11" x14ac:dyDescent="0.3">
      <c r="B52" s="30">
        <f>IF(LoanIsGood,IF(ROW()-ROW(PaymentSchedule4[[#Headers],[PMT NO]])&gt;ScheduledNumberOfPayments,"",ROW()-ROW(PaymentSchedule4[[#Headers],[PMT NO]])),"")</f>
        <v>37</v>
      </c>
      <c r="C52" s="31">
        <f>IF(PaymentSchedule4[[#This Row],[PMT NO]]&lt;&gt;"",EOMONTH(LoanStartDate,ROW(PaymentSchedule4[[#This Row],[PMT NO]])-ROW(PaymentSchedule4[[#Headers],[PMT NO]])-2)+DAY(LoanStartDate),"")</f>
        <v>44470</v>
      </c>
      <c r="D52" s="32">
        <f>IF(PaymentSchedule4[[#This Row],[PMT NO]]&lt;&gt;"",IF(ROW()-ROW(PaymentSchedule4[[#Headers],[BEGINNING BALANCE]])=1,LoanAmount,INDEX(PaymentSchedule4[ENDING BALANCE],ROW()-ROW(PaymentSchedule4[[#Headers],[BEGINNING BALANCE]])-1)),"")</f>
        <v>142401.8718097549</v>
      </c>
      <c r="E52" s="32">
        <f>IF(PaymentSchedule4[[#This Row],[PMT NO]]&lt;&gt;"",ScheduledPayment,"")</f>
        <v>760.02796473882097</v>
      </c>
      <c r="F5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5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52" s="32">
        <f>IF(PaymentSchedule4[[#This Row],[PMT NO]]&lt;&gt;"",PaymentSchedule4[[#This Row],[TOTAL PAYMENT]]-PaymentSchedule4[[#This Row],[INTEREST]],"")</f>
        <v>226.02094545224008</v>
      </c>
      <c r="I52" s="32">
        <f>IF(PaymentSchedule4[[#This Row],[PMT NO]]&lt;&gt;"",PaymentSchedule4[[#This Row],[BEGINNING BALANCE]]*(InterestRate/PaymentsPerYear),"")</f>
        <v>534.00701928658088</v>
      </c>
      <c r="J5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142175.85086430266</v>
      </c>
      <c r="K52" s="32">
        <f>IF(PaymentSchedule4[[#This Row],[PMT NO]]&lt;&gt;"",SUM(INDEX(PaymentSchedule4[INTEREST],1,1):PaymentSchedule4[[#This Row],[INTEREST]]),"")</f>
        <v>20296.885559638944</v>
      </c>
    </row>
    <row r="53" spans="2:11" x14ac:dyDescent="0.3">
      <c r="B53" s="30">
        <f>IF(LoanIsGood,IF(ROW()-ROW(PaymentSchedule4[[#Headers],[PMT NO]])&gt;ScheduledNumberOfPayments,"",ROW()-ROW(PaymentSchedule4[[#Headers],[PMT NO]])),"")</f>
        <v>38</v>
      </c>
      <c r="C53" s="31">
        <f>IF(PaymentSchedule4[[#This Row],[PMT NO]]&lt;&gt;"",EOMONTH(LoanStartDate,ROW(PaymentSchedule4[[#This Row],[PMT NO]])-ROW(PaymentSchedule4[[#Headers],[PMT NO]])-2)+DAY(LoanStartDate),"")</f>
        <v>44501</v>
      </c>
      <c r="D53" s="32">
        <f>IF(PaymentSchedule4[[#This Row],[PMT NO]]&lt;&gt;"",IF(ROW()-ROW(PaymentSchedule4[[#Headers],[BEGINNING BALANCE]])=1,LoanAmount,INDEX(PaymentSchedule4[ENDING BALANCE],ROW()-ROW(PaymentSchedule4[[#Headers],[BEGINNING BALANCE]])-1)),"")</f>
        <v>142175.85086430266</v>
      </c>
      <c r="E53" s="32">
        <f>IF(PaymentSchedule4[[#This Row],[PMT NO]]&lt;&gt;"",ScheduledPayment,"")</f>
        <v>760.02796473882097</v>
      </c>
      <c r="F5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5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53" s="32">
        <f>IF(PaymentSchedule4[[#This Row],[PMT NO]]&lt;&gt;"",PaymentSchedule4[[#This Row],[TOTAL PAYMENT]]-PaymentSchedule4[[#This Row],[INTEREST]],"")</f>
        <v>226.868523997686</v>
      </c>
      <c r="I53" s="32">
        <f>IF(PaymentSchedule4[[#This Row],[PMT NO]]&lt;&gt;"",PaymentSchedule4[[#This Row],[BEGINNING BALANCE]]*(InterestRate/PaymentsPerYear),"")</f>
        <v>533.15944074113497</v>
      </c>
      <c r="J5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141948.98234030497</v>
      </c>
      <c r="K53" s="32">
        <f>IF(PaymentSchedule4[[#This Row],[PMT NO]]&lt;&gt;"",SUM(INDEX(PaymentSchedule4[INTEREST],1,1):PaymentSchedule4[[#This Row],[INTEREST]]),"")</f>
        <v>20830.04500038008</v>
      </c>
    </row>
    <row r="54" spans="2:11" x14ac:dyDescent="0.3">
      <c r="B54" s="30">
        <f>IF(LoanIsGood,IF(ROW()-ROW(PaymentSchedule4[[#Headers],[PMT NO]])&gt;ScheduledNumberOfPayments,"",ROW()-ROW(PaymentSchedule4[[#Headers],[PMT NO]])),"")</f>
        <v>39</v>
      </c>
      <c r="C54" s="31">
        <f>IF(PaymentSchedule4[[#This Row],[PMT NO]]&lt;&gt;"",EOMONTH(LoanStartDate,ROW(PaymentSchedule4[[#This Row],[PMT NO]])-ROW(PaymentSchedule4[[#Headers],[PMT NO]])-2)+DAY(LoanStartDate),"")</f>
        <v>44531</v>
      </c>
      <c r="D54" s="32">
        <f>IF(PaymentSchedule4[[#This Row],[PMT NO]]&lt;&gt;"",IF(ROW()-ROW(PaymentSchedule4[[#Headers],[BEGINNING BALANCE]])=1,LoanAmount,INDEX(PaymentSchedule4[ENDING BALANCE],ROW()-ROW(PaymentSchedule4[[#Headers],[BEGINNING BALANCE]])-1)),"")</f>
        <v>141948.98234030497</v>
      </c>
      <c r="E54" s="32">
        <f>IF(PaymentSchedule4[[#This Row],[PMT NO]]&lt;&gt;"",ScheduledPayment,"")</f>
        <v>760.02796473882097</v>
      </c>
      <c r="F5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5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54" s="32">
        <f>IF(PaymentSchedule4[[#This Row],[PMT NO]]&lt;&gt;"",PaymentSchedule4[[#This Row],[TOTAL PAYMENT]]-PaymentSchedule4[[#This Row],[INTEREST]],"")</f>
        <v>227.71928096267732</v>
      </c>
      <c r="I54" s="32">
        <f>IF(PaymentSchedule4[[#This Row],[PMT NO]]&lt;&gt;"",PaymentSchedule4[[#This Row],[BEGINNING BALANCE]]*(InterestRate/PaymentsPerYear),"")</f>
        <v>532.30868377614365</v>
      </c>
      <c r="J5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141721.26305934228</v>
      </c>
      <c r="K54" s="32">
        <f>IF(PaymentSchedule4[[#This Row],[PMT NO]]&lt;&gt;"",SUM(INDEX(PaymentSchedule4[INTEREST],1,1):PaymentSchedule4[[#This Row],[INTEREST]]),"")</f>
        <v>21362.353684156224</v>
      </c>
    </row>
    <row r="55" spans="2:11" x14ac:dyDescent="0.3">
      <c r="B55" s="30">
        <f>IF(LoanIsGood,IF(ROW()-ROW(PaymentSchedule4[[#Headers],[PMT NO]])&gt;ScheduledNumberOfPayments,"",ROW()-ROW(PaymentSchedule4[[#Headers],[PMT NO]])),"")</f>
        <v>40</v>
      </c>
      <c r="C55" s="31">
        <f>IF(PaymentSchedule4[[#This Row],[PMT NO]]&lt;&gt;"",EOMONTH(LoanStartDate,ROW(PaymentSchedule4[[#This Row],[PMT NO]])-ROW(PaymentSchedule4[[#Headers],[PMT NO]])-2)+DAY(LoanStartDate),"")</f>
        <v>44562</v>
      </c>
      <c r="D55" s="32">
        <f>IF(PaymentSchedule4[[#This Row],[PMT NO]]&lt;&gt;"",IF(ROW()-ROW(PaymentSchedule4[[#Headers],[BEGINNING BALANCE]])=1,LoanAmount,INDEX(PaymentSchedule4[ENDING BALANCE],ROW()-ROW(PaymentSchedule4[[#Headers],[BEGINNING BALANCE]])-1)),"")</f>
        <v>141721.26305934228</v>
      </c>
      <c r="E55" s="32">
        <f>IF(PaymentSchedule4[[#This Row],[PMT NO]]&lt;&gt;"",ScheduledPayment,"")</f>
        <v>760.02796473882097</v>
      </c>
      <c r="F5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5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55" s="32">
        <f>IF(PaymentSchedule4[[#This Row],[PMT NO]]&lt;&gt;"",PaymentSchedule4[[#This Row],[TOTAL PAYMENT]]-PaymentSchedule4[[#This Row],[INTEREST]],"")</f>
        <v>228.5732282662874</v>
      </c>
      <c r="I55" s="32">
        <f>IF(PaymentSchedule4[[#This Row],[PMT NO]]&lt;&gt;"",PaymentSchedule4[[#This Row],[BEGINNING BALANCE]]*(InterestRate/PaymentsPerYear),"")</f>
        <v>531.45473647253357</v>
      </c>
      <c r="J5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141492.68983107599</v>
      </c>
      <c r="K55" s="32">
        <f>IF(PaymentSchedule4[[#This Row],[PMT NO]]&lt;&gt;"",SUM(INDEX(PaymentSchedule4[INTEREST],1,1):PaymentSchedule4[[#This Row],[INTEREST]]),"")</f>
        <v>21893.808420628757</v>
      </c>
    </row>
    <row r="56" spans="2:11" x14ac:dyDescent="0.3">
      <c r="B56" s="30">
        <f>IF(LoanIsGood,IF(ROW()-ROW(PaymentSchedule4[[#Headers],[PMT NO]])&gt;ScheduledNumberOfPayments,"",ROW()-ROW(PaymentSchedule4[[#Headers],[PMT NO]])),"")</f>
        <v>41</v>
      </c>
      <c r="C56" s="31">
        <f>IF(PaymentSchedule4[[#This Row],[PMT NO]]&lt;&gt;"",EOMONTH(LoanStartDate,ROW(PaymentSchedule4[[#This Row],[PMT NO]])-ROW(PaymentSchedule4[[#Headers],[PMT NO]])-2)+DAY(LoanStartDate),"")</f>
        <v>44593</v>
      </c>
      <c r="D56" s="32">
        <f>IF(PaymentSchedule4[[#This Row],[PMT NO]]&lt;&gt;"",IF(ROW()-ROW(PaymentSchedule4[[#Headers],[BEGINNING BALANCE]])=1,LoanAmount,INDEX(PaymentSchedule4[ENDING BALANCE],ROW()-ROW(PaymentSchedule4[[#Headers],[BEGINNING BALANCE]])-1)),"")</f>
        <v>141492.68983107599</v>
      </c>
      <c r="E56" s="32">
        <f>IF(PaymentSchedule4[[#This Row],[PMT NO]]&lt;&gt;"",ScheduledPayment,"")</f>
        <v>760.02796473882097</v>
      </c>
      <c r="F5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5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56" s="32">
        <f>IF(PaymentSchedule4[[#This Row],[PMT NO]]&lt;&gt;"",PaymentSchedule4[[#This Row],[TOTAL PAYMENT]]-PaymentSchedule4[[#This Row],[INTEREST]],"")</f>
        <v>229.43037787228604</v>
      </c>
      <c r="I56" s="32">
        <f>IF(PaymentSchedule4[[#This Row],[PMT NO]]&lt;&gt;"",PaymentSchedule4[[#This Row],[BEGINNING BALANCE]]*(InterestRate/PaymentsPerYear),"")</f>
        <v>530.59758686653493</v>
      </c>
      <c r="J5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141263.2594532037</v>
      </c>
      <c r="K56" s="32">
        <f>IF(PaymentSchedule4[[#This Row],[PMT NO]]&lt;&gt;"",SUM(INDEX(PaymentSchedule4[INTEREST],1,1):PaymentSchedule4[[#This Row],[INTEREST]]),"")</f>
        <v>22424.40600749529</v>
      </c>
    </row>
    <row r="57" spans="2:11" x14ac:dyDescent="0.3">
      <c r="B57" s="30">
        <f>IF(LoanIsGood,IF(ROW()-ROW(PaymentSchedule4[[#Headers],[PMT NO]])&gt;ScheduledNumberOfPayments,"",ROW()-ROW(PaymentSchedule4[[#Headers],[PMT NO]])),"")</f>
        <v>42</v>
      </c>
      <c r="C57" s="31">
        <f>IF(PaymentSchedule4[[#This Row],[PMT NO]]&lt;&gt;"",EOMONTH(LoanStartDate,ROW(PaymentSchedule4[[#This Row],[PMT NO]])-ROW(PaymentSchedule4[[#Headers],[PMT NO]])-2)+DAY(LoanStartDate),"")</f>
        <v>44621</v>
      </c>
      <c r="D57" s="32">
        <f>IF(PaymentSchedule4[[#This Row],[PMT NO]]&lt;&gt;"",IF(ROW()-ROW(PaymentSchedule4[[#Headers],[BEGINNING BALANCE]])=1,LoanAmount,INDEX(PaymentSchedule4[ENDING BALANCE],ROW()-ROW(PaymentSchedule4[[#Headers],[BEGINNING BALANCE]])-1)),"")</f>
        <v>141263.2594532037</v>
      </c>
      <c r="E57" s="32">
        <f>IF(PaymentSchedule4[[#This Row],[PMT NO]]&lt;&gt;"",ScheduledPayment,"")</f>
        <v>760.02796473882097</v>
      </c>
      <c r="F5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5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57" s="32">
        <f>IF(PaymentSchedule4[[#This Row],[PMT NO]]&lt;&gt;"",PaymentSchedule4[[#This Row],[TOTAL PAYMENT]]-PaymentSchedule4[[#This Row],[INTEREST]],"")</f>
        <v>230.29074178930705</v>
      </c>
      <c r="I57" s="32">
        <f>IF(PaymentSchedule4[[#This Row],[PMT NO]]&lt;&gt;"",PaymentSchedule4[[#This Row],[BEGINNING BALANCE]]*(InterestRate/PaymentsPerYear),"")</f>
        <v>529.73722294951392</v>
      </c>
      <c r="J5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141032.9687114144</v>
      </c>
      <c r="K57" s="32">
        <f>IF(PaymentSchedule4[[#This Row],[PMT NO]]&lt;&gt;"",SUM(INDEX(PaymentSchedule4[INTEREST],1,1):PaymentSchedule4[[#This Row],[INTEREST]]),"")</f>
        <v>22954.143230444803</v>
      </c>
    </row>
    <row r="58" spans="2:11" x14ac:dyDescent="0.3">
      <c r="B58" s="30">
        <f>IF(LoanIsGood,IF(ROW()-ROW(PaymentSchedule4[[#Headers],[PMT NO]])&gt;ScheduledNumberOfPayments,"",ROW()-ROW(PaymentSchedule4[[#Headers],[PMT NO]])),"")</f>
        <v>43</v>
      </c>
      <c r="C58" s="31">
        <f>IF(PaymentSchedule4[[#This Row],[PMT NO]]&lt;&gt;"",EOMONTH(LoanStartDate,ROW(PaymentSchedule4[[#This Row],[PMT NO]])-ROW(PaymentSchedule4[[#Headers],[PMT NO]])-2)+DAY(LoanStartDate),"")</f>
        <v>44652</v>
      </c>
      <c r="D58" s="32">
        <f>IF(PaymentSchedule4[[#This Row],[PMT NO]]&lt;&gt;"",IF(ROW()-ROW(PaymentSchedule4[[#Headers],[BEGINNING BALANCE]])=1,LoanAmount,INDEX(PaymentSchedule4[ENDING BALANCE],ROW()-ROW(PaymentSchedule4[[#Headers],[BEGINNING BALANCE]])-1)),"")</f>
        <v>141032.9687114144</v>
      </c>
      <c r="E58" s="32">
        <f>IF(PaymentSchedule4[[#This Row],[PMT NO]]&lt;&gt;"",ScheduledPayment,"")</f>
        <v>760.02796473882097</v>
      </c>
      <c r="F5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5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58" s="32">
        <f>IF(PaymentSchedule4[[#This Row],[PMT NO]]&lt;&gt;"",PaymentSchedule4[[#This Row],[TOTAL PAYMENT]]-PaymentSchedule4[[#This Row],[INTEREST]],"")</f>
        <v>231.15433207101694</v>
      </c>
      <c r="I58" s="32">
        <f>IF(PaymentSchedule4[[#This Row],[PMT NO]]&lt;&gt;"",PaymentSchedule4[[#This Row],[BEGINNING BALANCE]]*(InterestRate/PaymentsPerYear),"")</f>
        <v>528.87363266780403</v>
      </c>
      <c r="J5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140801.81437934338</v>
      </c>
      <c r="K58" s="32">
        <f>IF(PaymentSchedule4[[#This Row],[PMT NO]]&lt;&gt;"",SUM(INDEX(PaymentSchedule4[INTEREST],1,1):PaymentSchedule4[[#This Row],[INTEREST]]),"")</f>
        <v>23483.016863112607</v>
      </c>
    </row>
    <row r="59" spans="2:11" x14ac:dyDescent="0.3">
      <c r="B59" s="30">
        <f>IF(LoanIsGood,IF(ROW()-ROW(PaymentSchedule4[[#Headers],[PMT NO]])&gt;ScheduledNumberOfPayments,"",ROW()-ROW(PaymentSchedule4[[#Headers],[PMT NO]])),"")</f>
        <v>44</v>
      </c>
      <c r="C59" s="31">
        <f>IF(PaymentSchedule4[[#This Row],[PMT NO]]&lt;&gt;"",EOMONTH(LoanStartDate,ROW(PaymentSchedule4[[#This Row],[PMT NO]])-ROW(PaymentSchedule4[[#Headers],[PMT NO]])-2)+DAY(LoanStartDate),"")</f>
        <v>44682</v>
      </c>
      <c r="D59" s="32">
        <f>IF(PaymentSchedule4[[#This Row],[PMT NO]]&lt;&gt;"",IF(ROW()-ROW(PaymentSchedule4[[#Headers],[BEGINNING BALANCE]])=1,LoanAmount,INDEX(PaymentSchedule4[ENDING BALANCE],ROW()-ROW(PaymentSchedule4[[#Headers],[BEGINNING BALANCE]])-1)),"")</f>
        <v>140801.81437934338</v>
      </c>
      <c r="E59" s="32">
        <f>IF(PaymentSchedule4[[#This Row],[PMT NO]]&lt;&gt;"",ScheduledPayment,"")</f>
        <v>760.02796473882097</v>
      </c>
      <c r="F5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5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59" s="32">
        <f>IF(PaymentSchedule4[[#This Row],[PMT NO]]&lt;&gt;"",PaymentSchedule4[[#This Row],[TOTAL PAYMENT]]-PaymentSchedule4[[#This Row],[INTEREST]],"")</f>
        <v>232.02116081628333</v>
      </c>
      <c r="I59" s="32">
        <f>IF(PaymentSchedule4[[#This Row],[PMT NO]]&lt;&gt;"",PaymentSchedule4[[#This Row],[BEGINNING BALANCE]]*(InterestRate/PaymentsPerYear),"")</f>
        <v>528.00680392253764</v>
      </c>
      <c r="J5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140569.79321852711</v>
      </c>
      <c r="K59" s="32">
        <f>IF(PaymentSchedule4[[#This Row],[PMT NO]]&lt;&gt;"",SUM(INDEX(PaymentSchedule4[INTEREST],1,1):PaymentSchedule4[[#This Row],[INTEREST]]),"")</f>
        <v>24011.023667035144</v>
      </c>
    </row>
    <row r="60" spans="2:11" x14ac:dyDescent="0.3">
      <c r="B60" s="30">
        <f>IF(LoanIsGood,IF(ROW()-ROW(PaymentSchedule4[[#Headers],[PMT NO]])&gt;ScheduledNumberOfPayments,"",ROW()-ROW(PaymentSchedule4[[#Headers],[PMT NO]])),"")</f>
        <v>45</v>
      </c>
      <c r="C60" s="31">
        <f>IF(PaymentSchedule4[[#This Row],[PMT NO]]&lt;&gt;"",EOMONTH(LoanStartDate,ROW(PaymentSchedule4[[#This Row],[PMT NO]])-ROW(PaymentSchedule4[[#Headers],[PMT NO]])-2)+DAY(LoanStartDate),"")</f>
        <v>44713</v>
      </c>
      <c r="D60" s="32">
        <f>IF(PaymentSchedule4[[#This Row],[PMT NO]]&lt;&gt;"",IF(ROW()-ROW(PaymentSchedule4[[#Headers],[BEGINNING BALANCE]])=1,LoanAmount,INDEX(PaymentSchedule4[ENDING BALANCE],ROW()-ROW(PaymentSchedule4[[#Headers],[BEGINNING BALANCE]])-1)),"")</f>
        <v>140569.79321852711</v>
      </c>
      <c r="E60" s="32">
        <f>IF(PaymentSchedule4[[#This Row],[PMT NO]]&lt;&gt;"",ScheduledPayment,"")</f>
        <v>760.02796473882097</v>
      </c>
      <c r="F6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6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60" s="32">
        <f>IF(PaymentSchedule4[[#This Row],[PMT NO]]&lt;&gt;"",PaymentSchedule4[[#This Row],[TOTAL PAYMENT]]-PaymentSchedule4[[#This Row],[INTEREST]],"")</f>
        <v>232.89124016934431</v>
      </c>
      <c r="I60" s="32">
        <f>IF(PaymentSchedule4[[#This Row],[PMT NO]]&lt;&gt;"",PaymentSchedule4[[#This Row],[BEGINNING BALANCE]]*(InterestRate/PaymentsPerYear),"")</f>
        <v>527.13672456947666</v>
      </c>
      <c r="J6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140336.90197835775</v>
      </c>
      <c r="K60" s="32">
        <f>IF(PaymentSchedule4[[#This Row],[PMT NO]]&lt;&gt;"",SUM(INDEX(PaymentSchedule4[INTEREST],1,1):PaymentSchedule4[[#This Row],[INTEREST]]),"")</f>
        <v>24538.160391604622</v>
      </c>
    </row>
    <row r="61" spans="2:11" x14ac:dyDescent="0.3">
      <c r="B61" s="30">
        <f>IF(LoanIsGood,IF(ROW()-ROW(PaymentSchedule4[[#Headers],[PMT NO]])&gt;ScheduledNumberOfPayments,"",ROW()-ROW(PaymentSchedule4[[#Headers],[PMT NO]])),"")</f>
        <v>46</v>
      </c>
      <c r="C61" s="31">
        <f>IF(PaymentSchedule4[[#This Row],[PMT NO]]&lt;&gt;"",EOMONTH(LoanStartDate,ROW(PaymentSchedule4[[#This Row],[PMT NO]])-ROW(PaymentSchedule4[[#Headers],[PMT NO]])-2)+DAY(LoanStartDate),"")</f>
        <v>44743</v>
      </c>
      <c r="D61" s="32">
        <f>IF(PaymentSchedule4[[#This Row],[PMT NO]]&lt;&gt;"",IF(ROW()-ROW(PaymentSchedule4[[#Headers],[BEGINNING BALANCE]])=1,LoanAmount,INDEX(PaymentSchedule4[ENDING BALANCE],ROW()-ROW(PaymentSchedule4[[#Headers],[BEGINNING BALANCE]])-1)),"")</f>
        <v>140336.90197835775</v>
      </c>
      <c r="E61" s="32">
        <f>IF(PaymentSchedule4[[#This Row],[PMT NO]]&lt;&gt;"",ScheduledPayment,"")</f>
        <v>760.02796473882097</v>
      </c>
      <c r="F6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6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61" s="32">
        <f>IF(PaymentSchedule4[[#This Row],[PMT NO]]&lt;&gt;"",PaymentSchedule4[[#This Row],[TOTAL PAYMENT]]-PaymentSchedule4[[#This Row],[INTEREST]],"")</f>
        <v>233.76458231997947</v>
      </c>
      <c r="I61" s="32">
        <f>IF(PaymentSchedule4[[#This Row],[PMT NO]]&lt;&gt;"",PaymentSchedule4[[#This Row],[BEGINNING BALANCE]]*(InterestRate/PaymentsPerYear),"")</f>
        <v>526.2633824188415</v>
      </c>
      <c r="J6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140103.13739603778</v>
      </c>
      <c r="K61" s="32">
        <f>IF(PaymentSchedule4[[#This Row],[PMT NO]]&lt;&gt;"",SUM(INDEX(PaymentSchedule4[INTEREST],1,1):PaymentSchedule4[[#This Row],[INTEREST]]),"")</f>
        <v>25064.423774023464</v>
      </c>
    </row>
    <row r="62" spans="2:11" x14ac:dyDescent="0.3">
      <c r="B62" s="30">
        <f>IF(LoanIsGood,IF(ROW()-ROW(PaymentSchedule4[[#Headers],[PMT NO]])&gt;ScheduledNumberOfPayments,"",ROW()-ROW(PaymentSchedule4[[#Headers],[PMT NO]])),"")</f>
        <v>47</v>
      </c>
      <c r="C62" s="31">
        <f>IF(PaymentSchedule4[[#This Row],[PMT NO]]&lt;&gt;"",EOMONTH(LoanStartDate,ROW(PaymentSchedule4[[#This Row],[PMT NO]])-ROW(PaymentSchedule4[[#Headers],[PMT NO]])-2)+DAY(LoanStartDate),"")</f>
        <v>44774</v>
      </c>
      <c r="D62" s="32">
        <f>IF(PaymentSchedule4[[#This Row],[PMT NO]]&lt;&gt;"",IF(ROW()-ROW(PaymentSchedule4[[#Headers],[BEGINNING BALANCE]])=1,LoanAmount,INDEX(PaymentSchedule4[ENDING BALANCE],ROW()-ROW(PaymentSchedule4[[#Headers],[BEGINNING BALANCE]])-1)),"")</f>
        <v>140103.13739603778</v>
      </c>
      <c r="E62" s="32">
        <f>IF(PaymentSchedule4[[#This Row],[PMT NO]]&lt;&gt;"",ScheduledPayment,"")</f>
        <v>760.02796473882097</v>
      </c>
      <c r="F6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6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62" s="32">
        <f>IF(PaymentSchedule4[[#This Row],[PMT NO]]&lt;&gt;"",PaymentSchedule4[[#This Row],[TOTAL PAYMENT]]-PaymentSchedule4[[#This Row],[INTEREST]],"")</f>
        <v>234.64119950367933</v>
      </c>
      <c r="I62" s="32">
        <f>IF(PaymentSchedule4[[#This Row],[PMT NO]]&lt;&gt;"",PaymentSchedule4[[#This Row],[BEGINNING BALANCE]]*(InterestRate/PaymentsPerYear),"")</f>
        <v>525.38676523514164</v>
      </c>
      <c r="J6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139868.49619653411</v>
      </c>
      <c r="K62" s="32">
        <f>IF(PaymentSchedule4[[#This Row],[PMT NO]]&lt;&gt;"",SUM(INDEX(PaymentSchedule4[INTEREST],1,1):PaymentSchedule4[[#This Row],[INTEREST]]),"")</f>
        <v>25589.810539258604</v>
      </c>
    </row>
    <row r="63" spans="2:11" x14ac:dyDescent="0.3">
      <c r="B63" s="30">
        <f>IF(LoanIsGood,IF(ROW()-ROW(PaymentSchedule4[[#Headers],[PMT NO]])&gt;ScheduledNumberOfPayments,"",ROW()-ROW(PaymentSchedule4[[#Headers],[PMT NO]])),"")</f>
        <v>48</v>
      </c>
      <c r="C63" s="31">
        <f>IF(PaymentSchedule4[[#This Row],[PMT NO]]&lt;&gt;"",EOMONTH(LoanStartDate,ROW(PaymentSchedule4[[#This Row],[PMT NO]])-ROW(PaymentSchedule4[[#Headers],[PMT NO]])-2)+DAY(LoanStartDate),"")</f>
        <v>44805</v>
      </c>
      <c r="D63" s="32">
        <f>IF(PaymentSchedule4[[#This Row],[PMT NO]]&lt;&gt;"",IF(ROW()-ROW(PaymentSchedule4[[#Headers],[BEGINNING BALANCE]])=1,LoanAmount,INDEX(PaymentSchedule4[ENDING BALANCE],ROW()-ROW(PaymentSchedule4[[#Headers],[BEGINNING BALANCE]])-1)),"")</f>
        <v>139868.49619653411</v>
      </c>
      <c r="E63" s="32">
        <f>IF(PaymentSchedule4[[#This Row],[PMT NO]]&lt;&gt;"",ScheduledPayment,"")</f>
        <v>760.02796473882097</v>
      </c>
      <c r="F6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6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63" s="32">
        <f>IF(PaymentSchedule4[[#This Row],[PMT NO]]&lt;&gt;"",PaymentSchedule4[[#This Row],[TOTAL PAYMENT]]-PaymentSchedule4[[#This Row],[INTEREST]],"")</f>
        <v>235.52110400181812</v>
      </c>
      <c r="I63" s="32">
        <f>IF(PaymentSchedule4[[#This Row],[PMT NO]]&lt;&gt;"",PaymentSchedule4[[#This Row],[BEGINNING BALANCE]]*(InterestRate/PaymentsPerYear),"")</f>
        <v>524.50686073700285</v>
      </c>
      <c r="J6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139632.97509253229</v>
      </c>
      <c r="K63" s="32">
        <f>IF(PaymentSchedule4[[#This Row],[PMT NO]]&lt;&gt;"",SUM(INDEX(PaymentSchedule4[INTEREST],1,1):PaymentSchedule4[[#This Row],[INTEREST]]),"")</f>
        <v>26114.317399995605</v>
      </c>
    </row>
    <row r="64" spans="2:11" x14ac:dyDescent="0.3">
      <c r="B64" s="30">
        <f>IF(LoanIsGood,IF(ROW()-ROW(PaymentSchedule4[[#Headers],[PMT NO]])&gt;ScheduledNumberOfPayments,"",ROW()-ROW(PaymentSchedule4[[#Headers],[PMT NO]])),"")</f>
        <v>49</v>
      </c>
      <c r="C64" s="31">
        <f>IF(PaymentSchedule4[[#This Row],[PMT NO]]&lt;&gt;"",EOMONTH(LoanStartDate,ROW(PaymentSchedule4[[#This Row],[PMT NO]])-ROW(PaymentSchedule4[[#Headers],[PMT NO]])-2)+DAY(LoanStartDate),"")</f>
        <v>44835</v>
      </c>
      <c r="D64" s="32">
        <f>IF(PaymentSchedule4[[#This Row],[PMT NO]]&lt;&gt;"",IF(ROW()-ROW(PaymentSchedule4[[#Headers],[BEGINNING BALANCE]])=1,LoanAmount,INDEX(PaymentSchedule4[ENDING BALANCE],ROW()-ROW(PaymentSchedule4[[#Headers],[BEGINNING BALANCE]])-1)),"")</f>
        <v>139632.97509253229</v>
      </c>
      <c r="E64" s="32">
        <f>IF(PaymentSchedule4[[#This Row],[PMT NO]]&lt;&gt;"",ScheduledPayment,"")</f>
        <v>760.02796473882097</v>
      </c>
      <c r="F6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6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64" s="32">
        <f>IF(PaymentSchedule4[[#This Row],[PMT NO]]&lt;&gt;"",PaymentSchedule4[[#This Row],[TOTAL PAYMENT]]-PaymentSchedule4[[#This Row],[INTEREST]],"")</f>
        <v>236.40430814182491</v>
      </c>
      <c r="I64" s="32">
        <f>IF(PaymentSchedule4[[#This Row],[PMT NO]]&lt;&gt;"",PaymentSchedule4[[#This Row],[BEGINNING BALANCE]]*(InterestRate/PaymentsPerYear),"")</f>
        <v>523.62365659699606</v>
      </c>
      <c r="J6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139396.57078439047</v>
      </c>
      <c r="K64" s="32">
        <f>IF(PaymentSchedule4[[#This Row],[PMT NO]]&lt;&gt;"",SUM(INDEX(PaymentSchedule4[INTEREST],1,1):PaymentSchedule4[[#This Row],[INTEREST]]),"")</f>
        <v>26637.941056592601</v>
      </c>
    </row>
    <row r="65" spans="2:11" x14ac:dyDescent="0.3">
      <c r="B65" s="30">
        <f>IF(LoanIsGood,IF(ROW()-ROW(PaymentSchedule4[[#Headers],[PMT NO]])&gt;ScheduledNumberOfPayments,"",ROW()-ROW(PaymentSchedule4[[#Headers],[PMT NO]])),"")</f>
        <v>50</v>
      </c>
      <c r="C65" s="31">
        <f>IF(PaymentSchedule4[[#This Row],[PMT NO]]&lt;&gt;"",EOMONTH(LoanStartDate,ROW(PaymentSchedule4[[#This Row],[PMT NO]])-ROW(PaymentSchedule4[[#Headers],[PMT NO]])-2)+DAY(LoanStartDate),"")</f>
        <v>44866</v>
      </c>
      <c r="D65" s="32">
        <f>IF(PaymentSchedule4[[#This Row],[PMT NO]]&lt;&gt;"",IF(ROW()-ROW(PaymentSchedule4[[#Headers],[BEGINNING BALANCE]])=1,LoanAmount,INDEX(PaymentSchedule4[ENDING BALANCE],ROW()-ROW(PaymentSchedule4[[#Headers],[BEGINNING BALANCE]])-1)),"")</f>
        <v>139396.57078439047</v>
      </c>
      <c r="E65" s="32">
        <f>IF(PaymentSchedule4[[#This Row],[PMT NO]]&lt;&gt;"",ScheduledPayment,"")</f>
        <v>760.02796473882097</v>
      </c>
      <c r="F6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6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65" s="32">
        <f>IF(PaymentSchedule4[[#This Row],[PMT NO]]&lt;&gt;"",PaymentSchedule4[[#This Row],[TOTAL PAYMENT]]-PaymentSchedule4[[#This Row],[INTEREST]],"")</f>
        <v>237.29082429735672</v>
      </c>
      <c r="I65" s="32">
        <f>IF(PaymentSchedule4[[#This Row],[PMT NO]]&lt;&gt;"",PaymentSchedule4[[#This Row],[BEGINNING BALANCE]]*(InterestRate/PaymentsPerYear),"")</f>
        <v>522.73714044146425</v>
      </c>
      <c r="J6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139159.27996009312</v>
      </c>
      <c r="K65" s="32">
        <f>IF(PaymentSchedule4[[#This Row],[PMT NO]]&lt;&gt;"",SUM(INDEX(PaymentSchedule4[INTEREST],1,1):PaymentSchedule4[[#This Row],[INTEREST]]),"")</f>
        <v>27160.678197034063</v>
      </c>
    </row>
    <row r="66" spans="2:11" x14ac:dyDescent="0.3">
      <c r="B66" s="30">
        <f>IF(LoanIsGood,IF(ROW()-ROW(PaymentSchedule4[[#Headers],[PMT NO]])&gt;ScheduledNumberOfPayments,"",ROW()-ROW(PaymentSchedule4[[#Headers],[PMT NO]])),"")</f>
        <v>51</v>
      </c>
      <c r="C66" s="31">
        <f>IF(PaymentSchedule4[[#This Row],[PMT NO]]&lt;&gt;"",EOMONTH(LoanStartDate,ROW(PaymentSchedule4[[#This Row],[PMT NO]])-ROW(PaymentSchedule4[[#Headers],[PMT NO]])-2)+DAY(LoanStartDate),"")</f>
        <v>44896</v>
      </c>
      <c r="D66" s="32">
        <f>IF(PaymentSchedule4[[#This Row],[PMT NO]]&lt;&gt;"",IF(ROW()-ROW(PaymentSchedule4[[#Headers],[BEGINNING BALANCE]])=1,LoanAmount,INDEX(PaymentSchedule4[ENDING BALANCE],ROW()-ROW(PaymentSchedule4[[#Headers],[BEGINNING BALANCE]])-1)),"")</f>
        <v>139159.27996009312</v>
      </c>
      <c r="E66" s="32">
        <f>IF(PaymentSchedule4[[#This Row],[PMT NO]]&lt;&gt;"",ScheduledPayment,"")</f>
        <v>760.02796473882097</v>
      </c>
      <c r="F6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6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66" s="32">
        <f>IF(PaymentSchedule4[[#This Row],[PMT NO]]&lt;&gt;"",PaymentSchedule4[[#This Row],[TOTAL PAYMENT]]-PaymentSchedule4[[#This Row],[INTEREST]],"")</f>
        <v>238.18066488847182</v>
      </c>
      <c r="I66" s="32">
        <f>IF(PaymentSchedule4[[#This Row],[PMT NO]]&lt;&gt;"",PaymentSchedule4[[#This Row],[BEGINNING BALANCE]]*(InterestRate/PaymentsPerYear),"")</f>
        <v>521.84729985034915</v>
      </c>
      <c r="J6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138921.09929520465</v>
      </c>
      <c r="K66" s="32">
        <f>IF(PaymentSchedule4[[#This Row],[PMT NO]]&lt;&gt;"",SUM(INDEX(PaymentSchedule4[INTEREST],1,1):PaymentSchedule4[[#This Row],[INTEREST]]),"")</f>
        <v>27682.525496884413</v>
      </c>
    </row>
    <row r="67" spans="2:11" x14ac:dyDescent="0.3">
      <c r="B67" s="30">
        <f>IF(LoanIsGood,IF(ROW()-ROW(PaymentSchedule4[[#Headers],[PMT NO]])&gt;ScheduledNumberOfPayments,"",ROW()-ROW(PaymentSchedule4[[#Headers],[PMT NO]])),"")</f>
        <v>52</v>
      </c>
      <c r="C67" s="31">
        <f>IF(PaymentSchedule4[[#This Row],[PMT NO]]&lt;&gt;"",EOMONTH(LoanStartDate,ROW(PaymentSchedule4[[#This Row],[PMT NO]])-ROW(PaymentSchedule4[[#Headers],[PMT NO]])-2)+DAY(LoanStartDate),"")</f>
        <v>44927</v>
      </c>
      <c r="D67" s="32">
        <f>IF(PaymentSchedule4[[#This Row],[PMT NO]]&lt;&gt;"",IF(ROW()-ROW(PaymentSchedule4[[#Headers],[BEGINNING BALANCE]])=1,LoanAmount,INDEX(PaymentSchedule4[ENDING BALANCE],ROW()-ROW(PaymentSchedule4[[#Headers],[BEGINNING BALANCE]])-1)),"")</f>
        <v>138921.09929520465</v>
      </c>
      <c r="E67" s="32">
        <f>IF(PaymentSchedule4[[#This Row],[PMT NO]]&lt;&gt;"",ScheduledPayment,"")</f>
        <v>760.02796473882097</v>
      </c>
      <c r="F6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6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67" s="32">
        <f>IF(PaymentSchedule4[[#This Row],[PMT NO]]&lt;&gt;"",PaymentSchedule4[[#This Row],[TOTAL PAYMENT]]-PaymentSchedule4[[#This Row],[INTEREST]],"")</f>
        <v>239.0738423818035</v>
      </c>
      <c r="I67" s="32">
        <f>IF(PaymentSchedule4[[#This Row],[PMT NO]]&lt;&gt;"",PaymentSchedule4[[#This Row],[BEGINNING BALANCE]]*(InterestRate/PaymentsPerYear),"")</f>
        <v>520.95412235701747</v>
      </c>
      <c r="J6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138682.02545282285</v>
      </c>
      <c r="K67" s="32">
        <f>IF(PaymentSchedule4[[#This Row],[PMT NO]]&lt;&gt;"",SUM(INDEX(PaymentSchedule4[INTEREST],1,1):PaymentSchedule4[[#This Row],[INTEREST]]),"")</f>
        <v>28203.479619241429</v>
      </c>
    </row>
    <row r="68" spans="2:11" x14ac:dyDescent="0.3">
      <c r="B68" s="30">
        <f>IF(LoanIsGood,IF(ROW()-ROW(PaymentSchedule4[[#Headers],[PMT NO]])&gt;ScheduledNumberOfPayments,"",ROW()-ROW(PaymentSchedule4[[#Headers],[PMT NO]])),"")</f>
        <v>53</v>
      </c>
      <c r="C68" s="31">
        <f>IF(PaymentSchedule4[[#This Row],[PMT NO]]&lt;&gt;"",EOMONTH(LoanStartDate,ROW(PaymentSchedule4[[#This Row],[PMT NO]])-ROW(PaymentSchedule4[[#Headers],[PMT NO]])-2)+DAY(LoanStartDate),"")</f>
        <v>44958</v>
      </c>
      <c r="D68" s="32">
        <f>IF(PaymentSchedule4[[#This Row],[PMT NO]]&lt;&gt;"",IF(ROW()-ROW(PaymentSchedule4[[#Headers],[BEGINNING BALANCE]])=1,LoanAmount,INDEX(PaymentSchedule4[ENDING BALANCE],ROW()-ROW(PaymentSchedule4[[#Headers],[BEGINNING BALANCE]])-1)),"")</f>
        <v>138682.02545282285</v>
      </c>
      <c r="E68" s="32">
        <f>IF(PaymentSchedule4[[#This Row],[PMT NO]]&lt;&gt;"",ScheduledPayment,"")</f>
        <v>760.02796473882097</v>
      </c>
      <c r="F6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6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68" s="32">
        <f>IF(PaymentSchedule4[[#This Row],[PMT NO]]&lt;&gt;"",PaymentSchedule4[[#This Row],[TOTAL PAYMENT]]-PaymentSchedule4[[#This Row],[INTEREST]],"")</f>
        <v>239.97036929073533</v>
      </c>
      <c r="I68" s="32">
        <f>IF(PaymentSchedule4[[#This Row],[PMT NO]]&lt;&gt;"",PaymentSchedule4[[#This Row],[BEGINNING BALANCE]]*(InterestRate/PaymentsPerYear),"")</f>
        <v>520.05759544808564</v>
      </c>
      <c r="J6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138442.05508353212</v>
      </c>
      <c r="K68" s="32">
        <f>IF(PaymentSchedule4[[#This Row],[PMT NO]]&lt;&gt;"",SUM(INDEX(PaymentSchedule4[INTEREST],1,1):PaymentSchedule4[[#This Row],[INTEREST]]),"")</f>
        <v>28723.537214689513</v>
      </c>
    </row>
    <row r="69" spans="2:11" x14ac:dyDescent="0.3">
      <c r="B69" s="30">
        <f>IF(LoanIsGood,IF(ROW()-ROW(PaymentSchedule4[[#Headers],[PMT NO]])&gt;ScheduledNumberOfPayments,"",ROW()-ROW(PaymentSchedule4[[#Headers],[PMT NO]])),"")</f>
        <v>54</v>
      </c>
      <c r="C69" s="31">
        <f>IF(PaymentSchedule4[[#This Row],[PMT NO]]&lt;&gt;"",EOMONTH(LoanStartDate,ROW(PaymentSchedule4[[#This Row],[PMT NO]])-ROW(PaymentSchedule4[[#Headers],[PMT NO]])-2)+DAY(LoanStartDate),"")</f>
        <v>44986</v>
      </c>
      <c r="D69" s="32">
        <f>IF(PaymentSchedule4[[#This Row],[PMT NO]]&lt;&gt;"",IF(ROW()-ROW(PaymentSchedule4[[#Headers],[BEGINNING BALANCE]])=1,LoanAmount,INDEX(PaymentSchedule4[ENDING BALANCE],ROW()-ROW(PaymentSchedule4[[#Headers],[BEGINNING BALANCE]])-1)),"")</f>
        <v>138442.05508353212</v>
      </c>
      <c r="E69" s="32">
        <f>IF(PaymentSchedule4[[#This Row],[PMT NO]]&lt;&gt;"",ScheduledPayment,"")</f>
        <v>760.02796473882097</v>
      </c>
      <c r="F6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6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69" s="32">
        <f>IF(PaymentSchedule4[[#This Row],[PMT NO]]&lt;&gt;"",PaymentSchedule4[[#This Row],[TOTAL PAYMENT]]-PaymentSchedule4[[#This Row],[INTEREST]],"")</f>
        <v>240.87025817557549</v>
      </c>
      <c r="I69" s="32">
        <f>IF(PaymentSchedule4[[#This Row],[PMT NO]]&lt;&gt;"",PaymentSchedule4[[#This Row],[BEGINNING BALANCE]]*(InterestRate/PaymentsPerYear),"")</f>
        <v>519.15770656324548</v>
      </c>
      <c r="J6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138201.18482535655</v>
      </c>
      <c r="K69" s="32">
        <f>IF(PaymentSchedule4[[#This Row],[PMT NO]]&lt;&gt;"",SUM(INDEX(PaymentSchedule4[INTEREST],1,1):PaymentSchedule4[[#This Row],[INTEREST]]),"")</f>
        <v>29242.694921252758</v>
      </c>
    </row>
    <row r="70" spans="2:11" x14ac:dyDescent="0.3">
      <c r="B70" s="30">
        <f>IF(LoanIsGood,IF(ROW()-ROW(PaymentSchedule4[[#Headers],[PMT NO]])&gt;ScheduledNumberOfPayments,"",ROW()-ROW(PaymentSchedule4[[#Headers],[PMT NO]])),"")</f>
        <v>55</v>
      </c>
      <c r="C70" s="31">
        <f>IF(PaymentSchedule4[[#This Row],[PMT NO]]&lt;&gt;"",EOMONTH(LoanStartDate,ROW(PaymentSchedule4[[#This Row],[PMT NO]])-ROW(PaymentSchedule4[[#Headers],[PMT NO]])-2)+DAY(LoanStartDate),"")</f>
        <v>45017</v>
      </c>
      <c r="D70" s="32">
        <f>IF(PaymentSchedule4[[#This Row],[PMT NO]]&lt;&gt;"",IF(ROW()-ROW(PaymentSchedule4[[#Headers],[BEGINNING BALANCE]])=1,LoanAmount,INDEX(PaymentSchedule4[ENDING BALANCE],ROW()-ROW(PaymentSchedule4[[#Headers],[BEGINNING BALANCE]])-1)),"")</f>
        <v>138201.18482535655</v>
      </c>
      <c r="E70" s="32">
        <f>IF(PaymentSchedule4[[#This Row],[PMT NO]]&lt;&gt;"",ScheduledPayment,"")</f>
        <v>760.02796473882097</v>
      </c>
      <c r="F7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7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70" s="32">
        <f>IF(PaymentSchedule4[[#This Row],[PMT NO]]&lt;&gt;"",PaymentSchedule4[[#This Row],[TOTAL PAYMENT]]-PaymentSchedule4[[#This Row],[INTEREST]],"")</f>
        <v>241.77352164373394</v>
      </c>
      <c r="I70" s="32">
        <f>IF(PaymentSchedule4[[#This Row],[PMT NO]]&lt;&gt;"",PaymentSchedule4[[#This Row],[BEGINNING BALANCE]]*(InterestRate/PaymentsPerYear),"")</f>
        <v>518.25444309508703</v>
      </c>
      <c r="J7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137959.41130371281</v>
      </c>
      <c r="K70" s="32">
        <f>IF(PaymentSchedule4[[#This Row],[PMT NO]]&lt;&gt;"",SUM(INDEX(PaymentSchedule4[INTEREST],1,1):PaymentSchedule4[[#This Row],[INTEREST]]),"")</f>
        <v>29760.949364347845</v>
      </c>
    </row>
    <row r="71" spans="2:11" x14ac:dyDescent="0.3">
      <c r="B71" s="30">
        <f>IF(LoanIsGood,IF(ROW()-ROW(PaymentSchedule4[[#Headers],[PMT NO]])&gt;ScheduledNumberOfPayments,"",ROW()-ROW(PaymentSchedule4[[#Headers],[PMT NO]])),"")</f>
        <v>56</v>
      </c>
      <c r="C71" s="31">
        <f>IF(PaymentSchedule4[[#This Row],[PMT NO]]&lt;&gt;"",EOMONTH(LoanStartDate,ROW(PaymentSchedule4[[#This Row],[PMT NO]])-ROW(PaymentSchedule4[[#Headers],[PMT NO]])-2)+DAY(LoanStartDate),"")</f>
        <v>45047</v>
      </c>
      <c r="D71" s="32">
        <f>IF(PaymentSchedule4[[#This Row],[PMT NO]]&lt;&gt;"",IF(ROW()-ROW(PaymentSchedule4[[#Headers],[BEGINNING BALANCE]])=1,LoanAmount,INDEX(PaymentSchedule4[ENDING BALANCE],ROW()-ROW(PaymentSchedule4[[#Headers],[BEGINNING BALANCE]])-1)),"")</f>
        <v>137959.41130371281</v>
      </c>
      <c r="E71" s="32">
        <f>IF(PaymentSchedule4[[#This Row],[PMT NO]]&lt;&gt;"",ScheduledPayment,"")</f>
        <v>760.02796473882097</v>
      </c>
      <c r="F7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7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71" s="32">
        <f>IF(PaymentSchedule4[[#This Row],[PMT NO]]&lt;&gt;"",PaymentSchedule4[[#This Row],[TOTAL PAYMENT]]-PaymentSchedule4[[#This Row],[INTEREST]],"")</f>
        <v>242.68017234989793</v>
      </c>
      <c r="I71" s="32">
        <f>IF(PaymentSchedule4[[#This Row],[PMT NO]]&lt;&gt;"",PaymentSchedule4[[#This Row],[BEGINNING BALANCE]]*(InterestRate/PaymentsPerYear),"")</f>
        <v>517.34779238892304</v>
      </c>
      <c r="J7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137716.7311313629</v>
      </c>
      <c r="K71" s="32">
        <f>IF(PaymentSchedule4[[#This Row],[PMT NO]]&lt;&gt;"",SUM(INDEX(PaymentSchedule4[INTEREST],1,1):PaymentSchedule4[[#This Row],[INTEREST]]),"")</f>
        <v>30278.297156736768</v>
      </c>
    </row>
    <row r="72" spans="2:11" x14ac:dyDescent="0.3">
      <c r="B72" s="30">
        <f>IF(LoanIsGood,IF(ROW()-ROW(PaymentSchedule4[[#Headers],[PMT NO]])&gt;ScheduledNumberOfPayments,"",ROW()-ROW(PaymentSchedule4[[#Headers],[PMT NO]])),"")</f>
        <v>57</v>
      </c>
      <c r="C72" s="31">
        <f>IF(PaymentSchedule4[[#This Row],[PMT NO]]&lt;&gt;"",EOMONTH(LoanStartDate,ROW(PaymentSchedule4[[#This Row],[PMT NO]])-ROW(PaymentSchedule4[[#Headers],[PMT NO]])-2)+DAY(LoanStartDate),"")</f>
        <v>45078</v>
      </c>
      <c r="D72" s="32">
        <f>IF(PaymentSchedule4[[#This Row],[PMT NO]]&lt;&gt;"",IF(ROW()-ROW(PaymentSchedule4[[#Headers],[BEGINNING BALANCE]])=1,LoanAmount,INDEX(PaymentSchedule4[ENDING BALANCE],ROW()-ROW(PaymentSchedule4[[#Headers],[BEGINNING BALANCE]])-1)),"")</f>
        <v>137716.7311313629</v>
      </c>
      <c r="E72" s="32">
        <f>IF(PaymentSchedule4[[#This Row],[PMT NO]]&lt;&gt;"",ScheduledPayment,"")</f>
        <v>760.02796473882097</v>
      </c>
      <c r="F7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7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72" s="32">
        <f>IF(PaymentSchedule4[[#This Row],[PMT NO]]&lt;&gt;"",PaymentSchedule4[[#This Row],[TOTAL PAYMENT]]-PaymentSchedule4[[#This Row],[INTEREST]],"")</f>
        <v>243.59022299621006</v>
      </c>
      <c r="I72" s="32">
        <f>IF(PaymentSchedule4[[#This Row],[PMT NO]]&lt;&gt;"",PaymentSchedule4[[#This Row],[BEGINNING BALANCE]]*(InterestRate/PaymentsPerYear),"")</f>
        <v>516.43774174261091</v>
      </c>
      <c r="J7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137473.14090836668</v>
      </c>
      <c r="K72" s="32">
        <f>IF(PaymentSchedule4[[#This Row],[PMT NO]]&lt;&gt;"",SUM(INDEX(PaymentSchedule4[INTEREST],1,1):PaymentSchedule4[[#This Row],[INTEREST]]),"")</f>
        <v>30794.734898479379</v>
      </c>
    </row>
    <row r="73" spans="2:11" x14ac:dyDescent="0.3">
      <c r="B73" s="30">
        <f>IF(LoanIsGood,IF(ROW()-ROW(PaymentSchedule4[[#Headers],[PMT NO]])&gt;ScheduledNumberOfPayments,"",ROW()-ROW(PaymentSchedule4[[#Headers],[PMT NO]])),"")</f>
        <v>58</v>
      </c>
      <c r="C73" s="31">
        <f>IF(PaymentSchedule4[[#This Row],[PMT NO]]&lt;&gt;"",EOMONTH(LoanStartDate,ROW(PaymentSchedule4[[#This Row],[PMT NO]])-ROW(PaymentSchedule4[[#Headers],[PMT NO]])-2)+DAY(LoanStartDate),"")</f>
        <v>45108</v>
      </c>
      <c r="D73" s="32">
        <f>IF(PaymentSchedule4[[#This Row],[PMT NO]]&lt;&gt;"",IF(ROW()-ROW(PaymentSchedule4[[#Headers],[BEGINNING BALANCE]])=1,LoanAmount,INDEX(PaymentSchedule4[ENDING BALANCE],ROW()-ROW(PaymentSchedule4[[#Headers],[BEGINNING BALANCE]])-1)),"")</f>
        <v>137473.14090836668</v>
      </c>
      <c r="E73" s="32">
        <f>IF(PaymentSchedule4[[#This Row],[PMT NO]]&lt;&gt;"",ScheduledPayment,"")</f>
        <v>760.02796473882097</v>
      </c>
      <c r="F7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7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73" s="32">
        <f>IF(PaymentSchedule4[[#This Row],[PMT NO]]&lt;&gt;"",PaymentSchedule4[[#This Row],[TOTAL PAYMENT]]-PaymentSchedule4[[#This Row],[INTEREST]],"")</f>
        <v>244.50368633244591</v>
      </c>
      <c r="I73" s="32">
        <f>IF(PaymentSchedule4[[#This Row],[PMT NO]]&lt;&gt;"",PaymentSchedule4[[#This Row],[BEGINNING BALANCE]]*(InterestRate/PaymentsPerYear),"")</f>
        <v>515.52427840637506</v>
      </c>
      <c r="J7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137228.63722203425</v>
      </c>
      <c r="K73" s="32">
        <f>IF(PaymentSchedule4[[#This Row],[PMT NO]]&lt;&gt;"",SUM(INDEX(PaymentSchedule4[INTEREST],1,1):PaymentSchedule4[[#This Row],[INTEREST]]),"")</f>
        <v>31310.259176885753</v>
      </c>
    </row>
    <row r="74" spans="2:11" x14ac:dyDescent="0.3">
      <c r="B74" s="30">
        <f>IF(LoanIsGood,IF(ROW()-ROW(PaymentSchedule4[[#Headers],[PMT NO]])&gt;ScheduledNumberOfPayments,"",ROW()-ROW(PaymentSchedule4[[#Headers],[PMT NO]])),"")</f>
        <v>59</v>
      </c>
      <c r="C74" s="31">
        <f>IF(PaymentSchedule4[[#This Row],[PMT NO]]&lt;&gt;"",EOMONTH(LoanStartDate,ROW(PaymentSchedule4[[#This Row],[PMT NO]])-ROW(PaymentSchedule4[[#Headers],[PMT NO]])-2)+DAY(LoanStartDate),"")</f>
        <v>45139</v>
      </c>
      <c r="D74" s="32">
        <f>IF(PaymentSchedule4[[#This Row],[PMT NO]]&lt;&gt;"",IF(ROW()-ROW(PaymentSchedule4[[#Headers],[BEGINNING BALANCE]])=1,LoanAmount,INDEX(PaymentSchedule4[ENDING BALANCE],ROW()-ROW(PaymentSchedule4[[#Headers],[BEGINNING BALANCE]])-1)),"")</f>
        <v>137228.63722203425</v>
      </c>
      <c r="E74" s="32">
        <f>IF(PaymentSchedule4[[#This Row],[PMT NO]]&lt;&gt;"",ScheduledPayment,"")</f>
        <v>760.02796473882097</v>
      </c>
      <c r="F7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7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74" s="32">
        <f>IF(PaymentSchedule4[[#This Row],[PMT NO]]&lt;&gt;"",PaymentSchedule4[[#This Row],[TOTAL PAYMENT]]-PaymentSchedule4[[#This Row],[INTEREST]],"")</f>
        <v>245.42057515619251</v>
      </c>
      <c r="I74" s="32">
        <f>IF(PaymentSchedule4[[#This Row],[PMT NO]]&lt;&gt;"",PaymentSchedule4[[#This Row],[BEGINNING BALANCE]]*(InterestRate/PaymentsPerYear),"")</f>
        <v>514.60738958262846</v>
      </c>
      <c r="J7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136983.21664687805</v>
      </c>
      <c r="K74" s="32">
        <f>IF(PaymentSchedule4[[#This Row],[PMT NO]]&lt;&gt;"",SUM(INDEX(PaymentSchedule4[INTEREST],1,1):PaymentSchedule4[[#This Row],[INTEREST]]),"")</f>
        <v>31824.866566468379</v>
      </c>
    </row>
    <row r="75" spans="2:11" x14ac:dyDescent="0.3">
      <c r="B75" s="30">
        <f>IF(LoanIsGood,IF(ROW()-ROW(PaymentSchedule4[[#Headers],[PMT NO]])&gt;ScheduledNumberOfPayments,"",ROW()-ROW(PaymentSchedule4[[#Headers],[PMT NO]])),"")</f>
        <v>60</v>
      </c>
      <c r="C75" s="31">
        <f>IF(PaymentSchedule4[[#This Row],[PMT NO]]&lt;&gt;"",EOMONTH(LoanStartDate,ROW(PaymentSchedule4[[#This Row],[PMT NO]])-ROW(PaymentSchedule4[[#Headers],[PMT NO]])-2)+DAY(LoanStartDate),"")</f>
        <v>45170</v>
      </c>
      <c r="D75" s="32">
        <f>IF(PaymentSchedule4[[#This Row],[PMT NO]]&lt;&gt;"",IF(ROW()-ROW(PaymentSchedule4[[#Headers],[BEGINNING BALANCE]])=1,LoanAmount,INDEX(PaymentSchedule4[ENDING BALANCE],ROW()-ROW(PaymentSchedule4[[#Headers],[BEGINNING BALANCE]])-1)),"")</f>
        <v>136983.21664687805</v>
      </c>
      <c r="E75" s="32">
        <f>IF(PaymentSchedule4[[#This Row],[PMT NO]]&lt;&gt;"",ScheduledPayment,"")</f>
        <v>760.02796473882097</v>
      </c>
      <c r="F7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7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75" s="32">
        <f>IF(PaymentSchedule4[[#This Row],[PMT NO]]&lt;&gt;"",PaymentSchedule4[[#This Row],[TOTAL PAYMENT]]-PaymentSchedule4[[#This Row],[INTEREST]],"")</f>
        <v>246.34090231302832</v>
      </c>
      <c r="I75" s="32">
        <f>IF(PaymentSchedule4[[#This Row],[PMT NO]]&lt;&gt;"",PaymentSchedule4[[#This Row],[BEGINNING BALANCE]]*(InterestRate/PaymentsPerYear),"")</f>
        <v>513.68706242579265</v>
      </c>
      <c r="J7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136736.87574456501</v>
      </c>
      <c r="K75" s="32">
        <f>IF(PaymentSchedule4[[#This Row],[PMT NO]]&lt;&gt;"",SUM(INDEX(PaymentSchedule4[INTEREST],1,1):PaymentSchedule4[[#This Row],[INTEREST]]),"")</f>
        <v>32338.553628894173</v>
      </c>
    </row>
    <row r="76" spans="2:11" x14ac:dyDescent="0.3">
      <c r="B76" s="30">
        <f>IF(LoanIsGood,IF(ROW()-ROW(PaymentSchedule4[[#Headers],[PMT NO]])&gt;ScheduledNumberOfPayments,"",ROW()-ROW(PaymentSchedule4[[#Headers],[PMT NO]])),"")</f>
        <v>61</v>
      </c>
      <c r="C76" s="31">
        <f>IF(PaymentSchedule4[[#This Row],[PMT NO]]&lt;&gt;"",EOMONTH(LoanStartDate,ROW(PaymentSchedule4[[#This Row],[PMT NO]])-ROW(PaymentSchedule4[[#Headers],[PMT NO]])-2)+DAY(LoanStartDate),"")</f>
        <v>45200</v>
      </c>
      <c r="D76" s="32">
        <f>IF(PaymentSchedule4[[#This Row],[PMT NO]]&lt;&gt;"",IF(ROW()-ROW(PaymentSchedule4[[#Headers],[BEGINNING BALANCE]])=1,LoanAmount,INDEX(PaymentSchedule4[ENDING BALANCE],ROW()-ROW(PaymentSchedule4[[#Headers],[BEGINNING BALANCE]])-1)),"")</f>
        <v>136736.87574456501</v>
      </c>
      <c r="E76" s="32">
        <f>IF(PaymentSchedule4[[#This Row],[PMT NO]]&lt;&gt;"",ScheduledPayment,"")</f>
        <v>760.02796473882097</v>
      </c>
      <c r="F7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7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76" s="32">
        <f>IF(PaymentSchedule4[[#This Row],[PMT NO]]&lt;&gt;"",PaymentSchedule4[[#This Row],[TOTAL PAYMENT]]-PaymentSchedule4[[#This Row],[INTEREST]],"")</f>
        <v>247.26468069670216</v>
      </c>
      <c r="I76" s="32">
        <f>IF(PaymentSchedule4[[#This Row],[PMT NO]]&lt;&gt;"",PaymentSchedule4[[#This Row],[BEGINNING BALANCE]]*(InterestRate/PaymentsPerYear),"")</f>
        <v>512.76328404211881</v>
      </c>
      <c r="J7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136489.6110638683</v>
      </c>
      <c r="K76" s="32">
        <f>IF(PaymentSchedule4[[#This Row],[PMT NO]]&lt;&gt;"",SUM(INDEX(PaymentSchedule4[INTEREST],1,1):PaymentSchedule4[[#This Row],[INTEREST]]),"")</f>
        <v>32851.316912936294</v>
      </c>
    </row>
    <row r="77" spans="2:11" x14ac:dyDescent="0.3">
      <c r="B77" s="30">
        <f>IF(LoanIsGood,IF(ROW()-ROW(PaymentSchedule4[[#Headers],[PMT NO]])&gt;ScheduledNumberOfPayments,"",ROW()-ROW(PaymentSchedule4[[#Headers],[PMT NO]])),"")</f>
        <v>62</v>
      </c>
      <c r="C77" s="31">
        <f>IF(PaymentSchedule4[[#This Row],[PMT NO]]&lt;&gt;"",EOMONTH(LoanStartDate,ROW(PaymentSchedule4[[#This Row],[PMT NO]])-ROW(PaymentSchedule4[[#Headers],[PMT NO]])-2)+DAY(LoanStartDate),"")</f>
        <v>45231</v>
      </c>
      <c r="D77" s="32">
        <f>IF(PaymentSchedule4[[#This Row],[PMT NO]]&lt;&gt;"",IF(ROW()-ROW(PaymentSchedule4[[#Headers],[BEGINNING BALANCE]])=1,LoanAmount,INDEX(PaymentSchedule4[ENDING BALANCE],ROW()-ROW(PaymentSchedule4[[#Headers],[BEGINNING BALANCE]])-1)),"")</f>
        <v>136489.6110638683</v>
      </c>
      <c r="E77" s="32">
        <f>IF(PaymentSchedule4[[#This Row],[PMT NO]]&lt;&gt;"",ScheduledPayment,"")</f>
        <v>760.02796473882097</v>
      </c>
      <c r="F7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7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77" s="32">
        <f>IF(PaymentSchedule4[[#This Row],[PMT NO]]&lt;&gt;"",PaymentSchedule4[[#This Row],[TOTAL PAYMENT]]-PaymentSchedule4[[#This Row],[INTEREST]],"")</f>
        <v>248.19192324931487</v>
      </c>
      <c r="I77" s="32">
        <f>IF(PaymentSchedule4[[#This Row],[PMT NO]]&lt;&gt;"",PaymentSchedule4[[#This Row],[BEGINNING BALANCE]]*(InterestRate/PaymentsPerYear),"")</f>
        <v>511.8360414895061</v>
      </c>
      <c r="J7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136241.41914061899</v>
      </c>
      <c r="K77" s="32">
        <f>IF(PaymentSchedule4[[#This Row],[PMT NO]]&lt;&gt;"",SUM(INDEX(PaymentSchedule4[INTEREST],1,1):PaymentSchedule4[[#This Row],[INTEREST]]),"")</f>
        <v>33363.152954425801</v>
      </c>
    </row>
    <row r="78" spans="2:11" x14ac:dyDescent="0.3">
      <c r="B78" s="30">
        <f>IF(LoanIsGood,IF(ROW()-ROW(PaymentSchedule4[[#Headers],[PMT NO]])&gt;ScheduledNumberOfPayments,"",ROW()-ROW(PaymentSchedule4[[#Headers],[PMT NO]])),"")</f>
        <v>63</v>
      </c>
      <c r="C78" s="31">
        <f>IF(PaymentSchedule4[[#This Row],[PMT NO]]&lt;&gt;"",EOMONTH(LoanStartDate,ROW(PaymentSchedule4[[#This Row],[PMT NO]])-ROW(PaymentSchedule4[[#Headers],[PMT NO]])-2)+DAY(LoanStartDate),"")</f>
        <v>45261</v>
      </c>
      <c r="D78" s="32">
        <f>IF(PaymentSchedule4[[#This Row],[PMT NO]]&lt;&gt;"",IF(ROW()-ROW(PaymentSchedule4[[#Headers],[BEGINNING BALANCE]])=1,LoanAmount,INDEX(PaymentSchedule4[ENDING BALANCE],ROW()-ROW(PaymentSchedule4[[#Headers],[BEGINNING BALANCE]])-1)),"")</f>
        <v>136241.41914061899</v>
      </c>
      <c r="E78" s="32">
        <f>IF(PaymentSchedule4[[#This Row],[PMT NO]]&lt;&gt;"",ScheduledPayment,"")</f>
        <v>760.02796473882097</v>
      </c>
      <c r="F7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7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78" s="32">
        <f>IF(PaymentSchedule4[[#This Row],[PMT NO]]&lt;&gt;"",PaymentSchedule4[[#This Row],[TOTAL PAYMENT]]-PaymentSchedule4[[#This Row],[INTEREST]],"")</f>
        <v>249.12264296149976</v>
      </c>
      <c r="I78" s="32">
        <f>IF(PaymentSchedule4[[#This Row],[PMT NO]]&lt;&gt;"",PaymentSchedule4[[#This Row],[BEGINNING BALANCE]]*(InterestRate/PaymentsPerYear),"")</f>
        <v>510.90532177732121</v>
      </c>
      <c r="J7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135992.29649765749</v>
      </c>
      <c r="K78" s="32">
        <f>IF(PaymentSchedule4[[#This Row],[PMT NO]]&lt;&gt;"",SUM(INDEX(PaymentSchedule4[INTEREST],1,1):PaymentSchedule4[[#This Row],[INTEREST]]),"")</f>
        <v>33874.058276203119</v>
      </c>
    </row>
    <row r="79" spans="2:11" x14ac:dyDescent="0.3">
      <c r="B79" s="30">
        <f>IF(LoanIsGood,IF(ROW()-ROW(PaymentSchedule4[[#Headers],[PMT NO]])&gt;ScheduledNumberOfPayments,"",ROW()-ROW(PaymentSchedule4[[#Headers],[PMT NO]])),"")</f>
        <v>64</v>
      </c>
      <c r="C79" s="31">
        <f>IF(PaymentSchedule4[[#This Row],[PMT NO]]&lt;&gt;"",EOMONTH(LoanStartDate,ROW(PaymentSchedule4[[#This Row],[PMT NO]])-ROW(PaymentSchedule4[[#Headers],[PMT NO]])-2)+DAY(LoanStartDate),"")</f>
        <v>45292</v>
      </c>
      <c r="D79" s="32">
        <f>IF(PaymentSchedule4[[#This Row],[PMT NO]]&lt;&gt;"",IF(ROW()-ROW(PaymentSchedule4[[#Headers],[BEGINNING BALANCE]])=1,LoanAmount,INDEX(PaymentSchedule4[ENDING BALANCE],ROW()-ROW(PaymentSchedule4[[#Headers],[BEGINNING BALANCE]])-1)),"")</f>
        <v>135992.29649765749</v>
      </c>
      <c r="E79" s="32">
        <f>IF(PaymentSchedule4[[#This Row],[PMT NO]]&lt;&gt;"",ScheduledPayment,"")</f>
        <v>760.02796473882097</v>
      </c>
      <c r="F7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7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79" s="32">
        <f>IF(PaymentSchedule4[[#This Row],[PMT NO]]&lt;&gt;"",PaymentSchedule4[[#This Row],[TOTAL PAYMENT]]-PaymentSchedule4[[#This Row],[INTEREST]],"")</f>
        <v>250.05685287260542</v>
      </c>
      <c r="I79" s="32">
        <f>IF(PaymentSchedule4[[#This Row],[PMT NO]]&lt;&gt;"",PaymentSchedule4[[#This Row],[BEGINNING BALANCE]]*(InterestRate/PaymentsPerYear),"")</f>
        <v>509.97111186621555</v>
      </c>
      <c r="J7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135742.23964478489</v>
      </c>
      <c r="K79" s="32">
        <f>IF(PaymentSchedule4[[#This Row],[PMT NO]]&lt;&gt;"",SUM(INDEX(PaymentSchedule4[INTEREST],1,1):PaymentSchedule4[[#This Row],[INTEREST]]),"")</f>
        <v>34384.029388069335</v>
      </c>
    </row>
    <row r="80" spans="2:11" x14ac:dyDescent="0.3">
      <c r="B80" s="30">
        <f>IF(LoanIsGood,IF(ROW()-ROW(PaymentSchedule4[[#Headers],[PMT NO]])&gt;ScheduledNumberOfPayments,"",ROW()-ROW(PaymentSchedule4[[#Headers],[PMT NO]])),"")</f>
        <v>65</v>
      </c>
      <c r="C80" s="31">
        <f>IF(PaymentSchedule4[[#This Row],[PMT NO]]&lt;&gt;"",EOMONTH(LoanStartDate,ROW(PaymentSchedule4[[#This Row],[PMT NO]])-ROW(PaymentSchedule4[[#Headers],[PMT NO]])-2)+DAY(LoanStartDate),"")</f>
        <v>45323</v>
      </c>
      <c r="D80" s="32">
        <f>IF(PaymentSchedule4[[#This Row],[PMT NO]]&lt;&gt;"",IF(ROW()-ROW(PaymentSchedule4[[#Headers],[BEGINNING BALANCE]])=1,LoanAmount,INDEX(PaymentSchedule4[ENDING BALANCE],ROW()-ROW(PaymentSchedule4[[#Headers],[BEGINNING BALANCE]])-1)),"")</f>
        <v>135742.23964478489</v>
      </c>
      <c r="E80" s="32">
        <f>IF(PaymentSchedule4[[#This Row],[PMT NO]]&lt;&gt;"",ScheduledPayment,"")</f>
        <v>760.02796473882097</v>
      </c>
      <c r="F8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8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80" s="32">
        <f>IF(PaymentSchedule4[[#This Row],[PMT NO]]&lt;&gt;"",PaymentSchedule4[[#This Row],[TOTAL PAYMENT]]-PaymentSchedule4[[#This Row],[INTEREST]],"")</f>
        <v>250.99456607087768</v>
      </c>
      <c r="I80" s="32">
        <f>IF(PaymentSchedule4[[#This Row],[PMT NO]]&lt;&gt;"",PaymentSchedule4[[#This Row],[BEGINNING BALANCE]]*(InterestRate/PaymentsPerYear),"")</f>
        <v>509.03339866794329</v>
      </c>
      <c r="J8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135491.24507871401</v>
      </c>
      <c r="K80" s="32">
        <f>IF(PaymentSchedule4[[#This Row],[PMT NO]]&lt;&gt;"",SUM(INDEX(PaymentSchedule4[INTEREST],1,1):PaymentSchedule4[[#This Row],[INTEREST]]),"")</f>
        <v>34893.062786737275</v>
      </c>
    </row>
    <row r="81" spans="2:11" x14ac:dyDescent="0.3">
      <c r="B81" s="30">
        <f>IF(LoanIsGood,IF(ROW()-ROW(PaymentSchedule4[[#Headers],[PMT NO]])&gt;ScheduledNumberOfPayments,"",ROW()-ROW(PaymentSchedule4[[#Headers],[PMT NO]])),"")</f>
        <v>66</v>
      </c>
      <c r="C81" s="31">
        <f>IF(PaymentSchedule4[[#This Row],[PMT NO]]&lt;&gt;"",EOMONTH(LoanStartDate,ROW(PaymentSchedule4[[#This Row],[PMT NO]])-ROW(PaymentSchedule4[[#Headers],[PMT NO]])-2)+DAY(LoanStartDate),"")</f>
        <v>45352</v>
      </c>
      <c r="D81" s="32">
        <f>IF(PaymentSchedule4[[#This Row],[PMT NO]]&lt;&gt;"",IF(ROW()-ROW(PaymentSchedule4[[#Headers],[BEGINNING BALANCE]])=1,LoanAmount,INDEX(PaymentSchedule4[ENDING BALANCE],ROW()-ROW(PaymentSchedule4[[#Headers],[BEGINNING BALANCE]])-1)),"")</f>
        <v>135491.24507871401</v>
      </c>
      <c r="E81" s="32">
        <f>IF(PaymentSchedule4[[#This Row],[PMT NO]]&lt;&gt;"",ScheduledPayment,"")</f>
        <v>760.02796473882097</v>
      </c>
      <c r="F8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8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81" s="32">
        <f>IF(PaymentSchedule4[[#This Row],[PMT NO]]&lt;&gt;"",PaymentSchedule4[[#This Row],[TOTAL PAYMENT]]-PaymentSchedule4[[#This Row],[INTEREST]],"")</f>
        <v>251.93579569364346</v>
      </c>
      <c r="I81" s="32">
        <f>IF(PaymentSchedule4[[#This Row],[PMT NO]]&lt;&gt;"",PaymentSchedule4[[#This Row],[BEGINNING BALANCE]]*(InterestRate/PaymentsPerYear),"")</f>
        <v>508.09216904517751</v>
      </c>
      <c r="J8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135239.30928302038</v>
      </c>
      <c r="K81" s="32">
        <f>IF(PaymentSchedule4[[#This Row],[PMT NO]]&lt;&gt;"",SUM(INDEX(PaymentSchedule4[INTEREST],1,1):PaymentSchedule4[[#This Row],[INTEREST]]),"")</f>
        <v>35401.154955782455</v>
      </c>
    </row>
    <row r="82" spans="2:11" x14ac:dyDescent="0.3">
      <c r="B82" s="30">
        <f>IF(LoanIsGood,IF(ROW()-ROW(PaymentSchedule4[[#Headers],[PMT NO]])&gt;ScheduledNumberOfPayments,"",ROW()-ROW(PaymentSchedule4[[#Headers],[PMT NO]])),"")</f>
        <v>67</v>
      </c>
      <c r="C82" s="31">
        <f>IF(PaymentSchedule4[[#This Row],[PMT NO]]&lt;&gt;"",EOMONTH(LoanStartDate,ROW(PaymentSchedule4[[#This Row],[PMT NO]])-ROW(PaymentSchedule4[[#Headers],[PMT NO]])-2)+DAY(LoanStartDate),"")</f>
        <v>45383</v>
      </c>
      <c r="D82" s="32">
        <f>IF(PaymentSchedule4[[#This Row],[PMT NO]]&lt;&gt;"",IF(ROW()-ROW(PaymentSchedule4[[#Headers],[BEGINNING BALANCE]])=1,LoanAmount,INDEX(PaymentSchedule4[ENDING BALANCE],ROW()-ROW(PaymentSchedule4[[#Headers],[BEGINNING BALANCE]])-1)),"")</f>
        <v>135239.30928302038</v>
      </c>
      <c r="E82" s="32">
        <f>IF(PaymentSchedule4[[#This Row],[PMT NO]]&lt;&gt;"",ScheduledPayment,"")</f>
        <v>760.02796473882097</v>
      </c>
      <c r="F8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8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82" s="32">
        <f>IF(PaymentSchedule4[[#This Row],[PMT NO]]&lt;&gt;"",PaymentSchedule4[[#This Row],[TOTAL PAYMENT]]-PaymentSchedule4[[#This Row],[INTEREST]],"")</f>
        <v>252.88055492749453</v>
      </c>
      <c r="I82" s="32">
        <f>IF(PaymentSchedule4[[#This Row],[PMT NO]]&lt;&gt;"",PaymentSchedule4[[#This Row],[BEGINNING BALANCE]]*(InterestRate/PaymentsPerYear),"")</f>
        <v>507.14740981132644</v>
      </c>
      <c r="J8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134986.4287280929</v>
      </c>
      <c r="K82" s="32">
        <f>IF(PaymentSchedule4[[#This Row],[PMT NO]]&lt;&gt;"",SUM(INDEX(PaymentSchedule4[INTEREST],1,1):PaymentSchedule4[[#This Row],[INTEREST]]),"")</f>
        <v>35908.30236559378</v>
      </c>
    </row>
    <row r="83" spans="2:11" x14ac:dyDescent="0.3">
      <c r="B83" s="30">
        <f>IF(LoanIsGood,IF(ROW()-ROW(PaymentSchedule4[[#Headers],[PMT NO]])&gt;ScheduledNumberOfPayments,"",ROW()-ROW(PaymentSchedule4[[#Headers],[PMT NO]])),"")</f>
        <v>68</v>
      </c>
      <c r="C83" s="31">
        <f>IF(PaymentSchedule4[[#This Row],[PMT NO]]&lt;&gt;"",EOMONTH(LoanStartDate,ROW(PaymentSchedule4[[#This Row],[PMT NO]])-ROW(PaymentSchedule4[[#Headers],[PMT NO]])-2)+DAY(LoanStartDate),"")</f>
        <v>45413</v>
      </c>
      <c r="D83" s="32">
        <f>IF(PaymentSchedule4[[#This Row],[PMT NO]]&lt;&gt;"",IF(ROW()-ROW(PaymentSchedule4[[#Headers],[BEGINNING BALANCE]])=1,LoanAmount,INDEX(PaymentSchedule4[ENDING BALANCE],ROW()-ROW(PaymentSchedule4[[#Headers],[BEGINNING BALANCE]])-1)),"")</f>
        <v>134986.4287280929</v>
      </c>
      <c r="E83" s="32">
        <f>IF(PaymentSchedule4[[#This Row],[PMT NO]]&lt;&gt;"",ScheduledPayment,"")</f>
        <v>760.02796473882097</v>
      </c>
      <c r="F8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8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83" s="32">
        <f>IF(PaymentSchedule4[[#This Row],[PMT NO]]&lt;&gt;"",PaymentSchedule4[[#This Row],[TOTAL PAYMENT]]-PaymentSchedule4[[#This Row],[INTEREST]],"")</f>
        <v>253.8288570084726</v>
      </c>
      <c r="I83" s="32">
        <f>IF(PaymentSchedule4[[#This Row],[PMT NO]]&lt;&gt;"",PaymentSchedule4[[#This Row],[BEGINNING BALANCE]]*(InterestRate/PaymentsPerYear),"")</f>
        <v>506.19910773034837</v>
      </c>
      <c r="J8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134732.59987108441</v>
      </c>
      <c r="K83" s="32">
        <f>IF(PaymentSchedule4[[#This Row],[PMT NO]]&lt;&gt;"",SUM(INDEX(PaymentSchedule4[INTEREST],1,1):PaymentSchedule4[[#This Row],[INTEREST]]),"")</f>
        <v>36414.501473324126</v>
      </c>
    </row>
    <row r="84" spans="2:11" x14ac:dyDescent="0.3">
      <c r="B84" s="30">
        <f>IF(LoanIsGood,IF(ROW()-ROW(PaymentSchedule4[[#Headers],[PMT NO]])&gt;ScheduledNumberOfPayments,"",ROW()-ROW(PaymentSchedule4[[#Headers],[PMT NO]])),"")</f>
        <v>69</v>
      </c>
      <c r="C84" s="31">
        <f>IF(PaymentSchedule4[[#This Row],[PMT NO]]&lt;&gt;"",EOMONTH(LoanStartDate,ROW(PaymentSchedule4[[#This Row],[PMT NO]])-ROW(PaymentSchedule4[[#Headers],[PMT NO]])-2)+DAY(LoanStartDate),"")</f>
        <v>45444</v>
      </c>
      <c r="D84" s="32">
        <f>IF(PaymentSchedule4[[#This Row],[PMT NO]]&lt;&gt;"",IF(ROW()-ROW(PaymentSchedule4[[#Headers],[BEGINNING BALANCE]])=1,LoanAmount,INDEX(PaymentSchedule4[ENDING BALANCE],ROW()-ROW(PaymentSchedule4[[#Headers],[BEGINNING BALANCE]])-1)),"")</f>
        <v>134732.59987108441</v>
      </c>
      <c r="E84" s="32">
        <f>IF(PaymentSchedule4[[#This Row],[PMT NO]]&lt;&gt;"",ScheduledPayment,"")</f>
        <v>760.02796473882097</v>
      </c>
      <c r="F8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8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84" s="32">
        <f>IF(PaymentSchedule4[[#This Row],[PMT NO]]&lt;&gt;"",PaymentSchedule4[[#This Row],[TOTAL PAYMENT]]-PaymentSchedule4[[#This Row],[INTEREST]],"")</f>
        <v>254.78071522225446</v>
      </c>
      <c r="I84" s="32">
        <f>IF(PaymentSchedule4[[#This Row],[PMT NO]]&lt;&gt;"",PaymentSchedule4[[#This Row],[BEGINNING BALANCE]]*(InterestRate/PaymentsPerYear),"")</f>
        <v>505.24724951656651</v>
      </c>
      <c r="J8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134477.81915586215</v>
      </c>
      <c r="K84" s="32">
        <f>IF(PaymentSchedule4[[#This Row],[PMT NO]]&lt;&gt;"",SUM(INDEX(PaymentSchedule4[INTEREST],1,1):PaymentSchedule4[[#This Row],[INTEREST]]),"")</f>
        <v>36919.74872284069</v>
      </c>
    </row>
    <row r="85" spans="2:11" x14ac:dyDescent="0.3">
      <c r="B85" s="30">
        <f>IF(LoanIsGood,IF(ROW()-ROW(PaymentSchedule4[[#Headers],[PMT NO]])&gt;ScheduledNumberOfPayments,"",ROW()-ROW(PaymentSchedule4[[#Headers],[PMT NO]])),"")</f>
        <v>70</v>
      </c>
      <c r="C85" s="31">
        <f>IF(PaymentSchedule4[[#This Row],[PMT NO]]&lt;&gt;"",EOMONTH(LoanStartDate,ROW(PaymentSchedule4[[#This Row],[PMT NO]])-ROW(PaymentSchedule4[[#Headers],[PMT NO]])-2)+DAY(LoanStartDate),"")</f>
        <v>45474</v>
      </c>
      <c r="D85" s="32">
        <f>IF(PaymentSchedule4[[#This Row],[PMT NO]]&lt;&gt;"",IF(ROW()-ROW(PaymentSchedule4[[#Headers],[BEGINNING BALANCE]])=1,LoanAmount,INDEX(PaymentSchedule4[ENDING BALANCE],ROW()-ROW(PaymentSchedule4[[#Headers],[BEGINNING BALANCE]])-1)),"")</f>
        <v>134477.81915586215</v>
      </c>
      <c r="E85" s="32">
        <f>IF(PaymentSchedule4[[#This Row],[PMT NO]]&lt;&gt;"",ScheduledPayment,"")</f>
        <v>760.02796473882097</v>
      </c>
      <c r="F8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8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85" s="32">
        <f>IF(PaymentSchedule4[[#This Row],[PMT NO]]&lt;&gt;"",PaymentSchedule4[[#This Row],[TOTAL PAYMENT]]-PaymentSchedule4[[#This Row],[INTEREST]],"")</f>
        <v>255.73614290433795</v>
      </c>
      <c r="I85" s="32">
        <f>IF(PaymentSchedule4[[#This Row],[PMT NO]]&lt;&gt;"",PaymentSchedule4[[#This Row],[BEGINNING BALANCE]]*(InterestRate/PaymentsPerYear),"")</f>
        <v>504.29182183448302</v>
      </c>
      <c r="J8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134222.0830129578</v>
      </c>
      <c r="K85" s="32">
        <f>IF(PaymentSchedule4[[#This Row],[PMT NO]]&lt;&gt;"",SUM(INDEX(PaymentSchedule4[INTEREST],1,1):PaymentSchedule4[[#This Row],[INTEREST]]),"")</f>
        <v>37424.040544675176</v>
      </c>
    </row>
    <row r="86" spans="2:11" x14ac:dyDescent="0.3">
      <c r="B86" s="30">
        <f>IF(LoanIsGood,IF(ROW()-ROW(PaymentSchedule4[[#Headers],[PMT NO]])&gt;ScheduledNumberOfPayments,"",ROW()-ROW(PaymentSchedule4[[#Headers],[PMT NO]])),"")</f>
        <v>71</v>
      </c>
      <c r="C86" s="31">
        <f>IF(PaymentSchedule4[[#This Row],[PMT NO]]&lt;&gt;"",EOMONTH(LoanStartDate,ROW(PaymentSchedule4[[#This Row],[PMT NO]])-ROW(PaymentSchedule4[[#Headers],[PMT NO]])-2)+DAY(LoanStartDate),"")</f>
        <v>45505</v>
      </c>
      <c r="D86" s="32">
        <f>IF(PaymentSchedule4[[#This Row],[PMT NO]]&lt;&gt;"",IF(ROW()-ROW(PaymentSchedule4[[#Headers],[BEGINNING BALANCE]])=1,LoanAmount,INDEX(PaymentSchedule4[ENDING BALANCE],ROW()-ROW(PaymentSchedule4[[#Headers],[BEGINNING BALANCE]])-1)),"")</f>
        <v>134222.0830129578</v>
      </c>
      <c r="E86" s="32">
        <f>IF(PaymentSchedule4[[#This Row],[PMT NO]]&lt;&gt;"",ScheduledPayment,"")</f>
        <v>760.02796473882097</v>
      </c>
      <c r="F8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8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86" s="32">
        <f>IF(PaymentSchedule4[[#This Row],[PMT NO]]&lt;&gt;"",PaymentSchedule4[[#This Row],[TOTAL PAYMENT]]-PaymentSchedule4[[#This Row],[INTEREST]],"")</f>
        <v>256.69515344022926</v>
      </c>
      <c r="I86" s="32">
        <f>IF(PaymentSchedule4[[#This Row],[PMT NO]]&lt;&gt;"",PaymentSchedule4[[#This Row],[BEGINNING BALANCE]]*(InterestRate/PaymentsPerYear),"")</f>
        <v>503.33281129859171</v>
      </c>
      <c r="J8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133965.38785951756</v>
      </c>
      <c r="K86" s="32">
        <f>IF(PaymentSchedule4[[#This Row],[PMT NO]]&lt;&gt;"",SUM(INDEX(PaymentSchedule4[INTEREST],1,1):PaymentSchedule4[[#This Row],[INTEREST]]),"")</f>
        <v>37927.373355973767</v>
      </c>
    </row>
    <row r="87" spans="2:11" x14ac:dyDescent="0.3">
      <c r="B87" s="30">
        <f>IF(LoanIsGood,IF(ROW()-ROW(PaymentSchedule4[[#Headers],[PMT NO]])&gt;ScheduledNumberOfPayments,"",ROW()-ROW(PaymentSchedule4[[#Headers],[PMT NO]])),"")</f>
        <v>72</v>
      </c>
      <c r="C87" s="31">
        <f>IF(PaymentSchedule4[[#This Row],[PMT NO]]&lt;&gt;"",EOMONTH(LoanStartDate,ROW(PaymentSchedule4[[#This Row],[PMT NO]])-ROW(PaymentSchedule4[[#Headers],[PMT NO]])-2)+DAY(LoanStartDate),"")</f>
        <v>45536</v>
      </c>
      <c r="D87" s="32">
        <f>IF(PaymentSchedule4[[#This Row],[PMT NO]]&lt;&gt;"",IF(ROW()-ROW(PaymentSchedule4[[#Headers],[BEGINNING BALANCE]])=1,LoanAmount,INDEX(PaymentSchedule4[ENDING BALANCE],ROW()-ROW(PaymentSchedule4[[#Headers],[BEGINNING BALANCE]])-1)),"")</f>
        <v>133965.38785951756</v>
      </c>
      <c r="E87" s="32">
        <f>IF(PaymentSchedule4[[#This Row],[PMT NO]]&lt;&gt;"",ScheduledPayment,"")</f>
        <v>760.02796473882097</v>
      </c>
      <c r="F8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8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87" s="32">
        <f>IF(PaymentSchedule4[[#This Row],[PMT NO]]&lt;&gt;"",PaymentSchedule4[[#This Row],[TOTAL PAYMENT]]-PaymentSchedule4[[#This Row],[INTEREST]],"")</f>
        <v>257.65776026563015</v>
      </c>
      <c r="I87" s="32">
        <f>IF(PaymentSchedule4[[#This Row],[PMT NO]]&lt;&gt;"",PaymentSchedule4[[#This Row],[BEGINNING BALANCE]]*(InterestRate/PaymentsPerYear),"")</f>
        <v>502.37020447319082</v>
      </c>
      <c r="J8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133707.73009925193</v>
      </c>
      <c r="K87" s="32">
        <f>IF(PaymentSchedule4[[#This Row],[PMT NO]]&lt;&gt;"",SUM(INDEX(PaymentSchedule4[INTEREST],1,1):PaymentSchedule4[[#This Row],[INTEREST]]),"")</f>
        <v>38429.743560446957</v>
      </c>
    </row>
    <row r="88" spans="2:11" x14ac:dyDescent="0.3">
      <c r="B88" s="30">
        <f>IF(LoanIsGood,IF(ROW()-ROW(PaymentSchedule4[[#Headers],[PMT NO]])&gt;ScheduledNumberOfPayments,"",ROW()-ROW(PaymentSchedule4[[#Headers],[PMT NO]])),"")</f>
        <v>73</v>
      </c>
      <c r="C88" s="31">
        <f>IF(PaymentSchedule4[[#This Row],[PMT NO]]&lt;&gt;"",EOMONTH(LoanStartDate,ROW(PaymentSchedule4[[#This Row],[PMT NO]])-ROW(PaymentSchedule4[[#Headers],[PMT NO]])-2)+DAY(LoanStartDate),"")</f>
        <v>45566</v>
      </c>
      <c r="D88" s="32">
        <f>IF(PaymentSchedule4[[#This Row],[PMT NO]]&lt;&gt;"",IF(ROW()-ROW(PaymentSchedule4[[#Headers],[BEGINNING BALANCE]])=1,LoanAmount,INDEX(PaymentSchedule4[ENDING BALANCE],ROW()-ROW(PaymentSchedule4[[#Headers],[BEGINNING BALANCE]])-1)),"")</f>
        <v>133707.73009925193</v>
      </c>
      <c r="E88" s="32">
        <f>IF(PaymentSchedule4[[#This Row],[PMT NO]]&lt;&gt;"",ScheduledPayment,"")</f>
        <v>760.02796473882097</v>
      </c>
      <c r="F8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8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88" s="32">
        <f>IF(PaymentSchedule4[[#This Row],[PMT NO]]&lt;&gt;"",PaymentSchedule4[[#This Row],[TOTAL PAYMENT]]-PaymentSchedule4[[#This Row],[INTEREST]],"")</f>
        <v>258.62397686662626</v>
      </c>
      <c r="I88" s="32">
        <f>IF(PaymentSchedule4[[#This Row],[PMT NO]]&lt;&gt;"",PaymentSchedule4[[#This Row],[BEGINNING BALANCE]]*(InterestRate/PaymentsPerYear),"")</f>
        <v>501.4039878721947</v>
      </c>
      <c r="J8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133449.1061223853</v>
      </c>
      <c r="K88" s="32">
        <f>IF(PaymentSchedule4[[#This Row],[PMT NO]]&lt;&gt;"",SUM(INDEX(PaymentSchedule4[INTEREST],1,1):PaymentSchedule4[[#This Row],[INTEREST]]),"")</f>
        <v>38931.147548319153</v>
      </c>
    </row>
    <row r="89" spans="2:11" x14ac:dyDescent="0.3">
      <c r="B89" s="30">
        <f>IF(LoanIsGood,IF(ROW()-ROW(PaymentSchedule4[[#Headers],[PMT NO]])&gt;ScheduledNumberOfPayments,"",ROW()-ROW(PaymentSchedule4[[#Headers],[PMT NO]])),"")</f>
        <v>74</v>
      </c>
      <c r="C89" s="31">
        <f>IF(PaymentSchedule4[[#This Row],[PMT NO]]&lt;&gt;"",EOMONTH(LoanStartDate,ROW(PaymentSchedule4[[#This Row],[PMT NO]])-ROW(PaymentSchedule4[[#Headers],[PMT NO]])-2)+DAY(LoanStartDate),"")</f>
        <v>45597</v>
      </c>
      <c r="D89" s="32">
        <f>IF(PaymentSchedule4[[#This Row],[PMT NO]]&lt;&gt;"",IF(ROW()-ROW(PaymentSchedule4[[#Headers],[BEGINNING BALANCE]])=1,LoanAmount,INDEX(PaymentSchedule4[ENDING BALANCE],ROW()-ROW(PaymentSchedule4[[#Headers],[BEGINNING BALANCE]])-1)),"")</f>
        <v>133449.1061223853</v>
      </c>
      <c r="E89" s="32">
        <f>IF(PaymentSchedule4[[#This Row],[PMT NO]]&lt;&gt;"",ScheduledPayment,"")</f>
        <v>760.02796473882097</v>
      </c>
      <c r="F8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8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89" s="32">
        <f>IF(PaymentSchedule4[[#This Row],[PMT NO]]&lt;&gt;"",PaymentSchedule4[[#This Row],[TOTAL PAYMENT]]-PaymentSchedule4[[#This Row],[INTEREST]],"")</f>
        <v>259.59381677987608</v>
      </c>
      <c r="I89" s="32">
        <f>IF(PaymentSchedule4[[#This Row],[PMT NO]]&lt;&gt;"",PaymentSchedule4[[#This Row],[BEGINNING BALANCE]]*(InterestRate/PaymentsPerYear),"")</f>
        <v>500.43414795894489</v>
      </c>
      <c r="J8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133189.51230560543</v>
      </c>
      <c r="K89" s="32">
        <f>IF(PaymentSchedule4[[#This Row],[PMT NO]]&lt;&gt;"",SUM(INDEX(PaymentSchedule4[INTEREST],1,1):PaymentSchedule4[[#This Row],[INTEREST]]),"")</f>
        <v>39431.581696278095</v>
      </c>
    </row>
    <row r="90" spans="2:11" x14ac:dyDescent="0.3">
      <c r="B90" s="30">
        <f>IF(LoanIsGood,IF(ROW()-ROW(PaymentSchedule4[[#Headers],[PMT NO]])&gt;ScheduledNumberOfPayments,"",ROW()-ROW(PaymentSchedule4[[#Headers],[PMT NO]])),"")</f>
        <v>75</v>
      </c>
      <c r="C90" s="31">
        <f>IF(PaymentSchedule4[[#This Row],[PMT NO]]&lt;&gt;"",EOMONTH(LoanStartDate,ROW(PaymentSchedule4[[#This Row],[PMT NO]])-ROW(PaymentSchedule4[[#Headers],[PMT NO]])-2)+DAY(LoanStartDate),"")</f>
        <v>45627</v>
      </c>
      <c r="D90" s="32">
        <f>IF(PaymentSchedule4[[#This Row],[PMT NO]]&lt;&gt;"",IF(ROW()-ROW(PaymentSchedule4[[#Headers],[BEGINNING BALANCE]])=1,LoanAmount,INDEX(PaymentSchedule4[ENDING BALANCE],ROW()-ROW(PaymentSchedule4[[#Headers],[BEGINNING BALANCE]])-1)),"")</f>
        <v>133189.51230560543</v>
      </c>
      <c r="E90" s="32">
        <f>IF(PaymentSchedule4[[#This Row],[PMT NO]]&lt;&gt;"",ScheduledPayment,"")</f>
        <v>760.02796473882097</v>
      </c>
      <c r="F9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9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90" s="32">
        <f>IF(PaymentSchedule4[[#This Row],[PMT NO]]&lt;&gt;"",PaymentSchedule4[[#This Row],[TOTAL PAYMENT]]-PaymentSchedule4[[#This Row],[INTEREST]],"")</f>
        <v>260.56729359280064</v>
      </c>
      <c r="I90" s="32">
        <f>IF(PaymentSchedule4[[#This Row],[PMT NO]]&lt;&gt;"",PaymentSchedule4[[#This Row],[BEGINNING BALANCE]]*(InterestRate/PaymentsPerYear),"")</f>
        <v>499.46067114602033</v>
      </c>
      <c r="J9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132928.94501201264</v>
      </c>
      <c r="K90" s="32">
        <f>IF(PaymentSchedule4[[#This Row],[PMT NO]]&lt;&gt;"",SUM(INDEX(PaymentSchedule4[INTEREST],1,1):PaymentSchedule4[[#This Row],[INTEREST]]),"")</f>
        <v>39931.042367424117</v>
      </c>
    </row>
    <row r="91" spans="2:11" x14ac:dyDescent="0.3">
      <c r="B91" s="30">
        <f>IF(LoanIsGood,IF(ROW()-ROW(PaymentSchedule4[[#Headers],[PMT NO]])&gt;ScheduledNumberOfPayments,"",ROW()-ROW(PaymentSchedule4[[#Headers],[PMT NO]])),"")</f>
        <v>76</v>
      </c>
      <c r="C91" s="31">
        <f>IF(PaymentSchedule4[[#This Row],[PMT NO]]&lt;&gt;"",EOMONTH(LoanStartDate,ROW(PaymentSchedule4[[#This Row],[PMT NO]])-ROW(PaymentSchedule4[[#Headers],[PMT NO]])-2)+DAY(LoanStartDate),"")</f>
        <v>45658</v>
      </c>
      <c r="D91" s="32">
        <f>IF(PaymentSchedule4[[#This Row],[PMT NO]]&lt;&gt;"",IF(ROW()-ROW(PaymentSchedule4[[#Headers],[BEGINNING BALANCE]])=1,LoanAmount,INDEX(PaymentSchedule4[ENDING BALANCE],ROW()-ROW(PaymentSchedule4[[#Headers],[BEGINNING BALANCE]])-1)),"")</f>
        <v>132928.94501201264</v>
      </c>
      <c r="E91" s="32">
        <f>IF(PaymentSchedule4[[#This Row],[PMT NO]]&lt;&gt;"",ScheduledPayment,"")</f>
        <v>760.02796473882097</v>
      </c>
      <c r="F9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9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91" s="32">
        <f>IF(PaymentSchedule4[[#This Row],[PMT NO]]&lt;&gt;"",PaymentSchedule4[[#This Row],[TOTAL PAYMENT]]-PaymentSchedule4[[#This Row],[INTEREST]],"")</f>
        <v>261.54442094377356</v>
      </c>
      <c r="I91" s="32">
        <f>IF(PaymentSchedule4[[#This Row],[PMT NO]]&lt;&gt;"",PaymentSchedule4[[#This Row],[BEGINNING BALANCE]]*(InterestRate/PaymentsPerYear),"")</f>
        <v>498.48354379504741</v>
      </c>
      <c r="J9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132667.40059106887</v>
      </c>
      <c r="K91" s="32">
        <f>IF(PaymentSchedule4[[#This Row],[PMT NO]]&lt;&gt;"",SUM(INDEX(PaymentSchedule4[INTEREST],1,1):PaymentSchedule4[[#This Row],[INTEREST]]),"")</f>
        <v>40429.525911219163</v>
      </c>
    </row>
    <row r="92" spans="2:11" x14ac:dyDescent="0.3">
      <c r="B92" s="30">
        <f>IF(LoanIsGood,IF(ROW()-ROW(PaymentSchedule4[[#Headers],[PMT NO]])&gt;ScheduledNumberOfPayments,"",ROW()-ROW(PaymentSchedule4[[#Headers],[PMT NO]])),"")</f>
        <v>77</v>
      </c>
      <c r="C92" s="31">
        <f>IF(PaymentSchedule4[[#This Row],[PMT NO]]&lt;&gt;"",EOMONTH(LoanStartDate,ROW(PaymentSchedule4[[#This Row],[PMT NO]])-ROW(PaymentSchedule4[[#Headers],[PMT NO]])-2)+DAY(LoanStartDate),"")</f>
        <v>45689</v>
      </c>
      <c r="D92" s="32">
        <f>IF(PaymentSchedule4[[#This Row],[PMT NO]]&lt;&gt;"",IF(ROW()-ROW(PaymentSchedule4[[#Headers],[BEGINNING BALANCE]])=1,LoanAmount,INDEX(PaymentSchedule4[ENDING BALANCE],ROW()-ROW(PaymentSchedule4[[#Headers],[BEGINNING BALANCE]])-1)),"")</f>
        <v>132667.40059106887</v>
      </c>
      <c r="E92" s="32">
        <f>IF(PaymentSchedule4[[#This Row],[PMT NO]]&lt;&gt;"",ScheduledPayment,"")</f>
        <v>760.02796473882097</v>
      </c>
      <c r="F9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9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92" s="32">
        <f>IF(PaymentSchedule4[[#This Row],[PMT NO]]&lt;&gt;"",PaymentSchedule4[[#This Row],[TOTAL PAYMENT]]-PaymentSchedule4[[#This Row],[INTEREST]],"")</f>
        <v>262.5252125223127</v>
      </c>
      <c r="I92" s="32">
        <f>IF(PaymentSchedule4[[#This Row],[PMT NO]]&lt;&gt;"",PaymentSchedule4[[#This Row],[BEGINNING BALANCE]]*(InterestRate/PaymentsPerYear),"")</f>
        <v>497.50275221650827</v>
      </c>
      <c r="J9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132404.87537854657</v>
      </c>
      <c r="K92" s="32">
        <f>IF(PaymentSchedule4[[#This Row],[PMT NO]]&lt;&gt;"",SUM(INDEX(PaymentSchedule4[INTEREST],1,1):PaymentSchedule4[[#This Row],[INTEREST]]),"")</f>
        <v>40927.028663435674</v>
      </c>
    </row>
    <row r="93" spans="2:11" x14ac:dyDescent="0.3">
      <c r="B93" s="30">
        <f>IF(LoanIsGood,IF(ROW()-ROW(PaymentSchedule4[[#Headers],[PMT NO]])&gt;ScheduledNumberOfPayments,"",ROW()-ROW(PaymentSchedule4[[#Headers],[PMT NO]])),"")</f>
        <v>78</v>
      </c>
      <c r="C93" s="31">
        <f>IF(PaymentSchedule4[[#This Row],[PMT NO]]&lt;&gt;"",EOMONTH(LoanStartDate,ROW(PaymentSchedule4[[#This Row],[PMT NO]])-ROW(PaymentSchedule4[[#Headers],[PMT NO]])-2)+DAY(LoanStartDate),"")</f>
        <v>45717</v>
      </c>
      <c r="D93" s="32">
        <f>IF(PaymentSchedule4[[#This Row],[PMT NO]]&lt;&gt;"",IF(ROW()-ROW(PaymentSchedule4[[#Headers],[BEGINNING BALANCE]])=1,LoanAmount,INDEX(PaymentSchedule4[ENDING BALANCE],ROW()-ROW(PaymentSchedule4[[#Headers],[BEGINNING BALANCE]])-1)),"")</f>
        <v>132404.87537854657</v>
      </c>
      <c r="E93" s="32">
        <f>IF(PaymentSchedule4[[#This Row],[PMT NO]]&lt;&gt;"",ScheduledPayment,"")</f>
        <v>760.02796473882097</v>
      </c>
      <c r="F9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9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93" s="32">
        <f>IF(PaymentSchedule4[[#This Row],[PMT NO]]&lt;&gt;"",PaymentSchedule4[[#This Row],[TOTAL PAYMENT]]-PaymentSchedule4[[#This Row],[INTEREST]],"")</f>
        <v>263.50968206927138</v>
      </c>
      <c r="I93" s="32">
        <f>IF(PaymentSchedule4[[#This Row],[PMT NO]]&lt;&gt;"",PaymentSchedule4[[#This Row],[BEGINNING BALANCE]]*(InterestRate/PaymentsPerYear),"")</f>
        <v>496.51828266954959</v>
      </c>
      <c r="J9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132141.3656964773</v>
      </c>
      <c r="K93" s="32">
        <f>IF(PaymentSchedule4[[#This Row],[PMT NO]]&lt;&gt;"",SUM(INDEX(PaymentSchedule4[INTEREST],1,1):PaymentSchedule4[[#This Row],[INTEREST]]),"")</f>
        <v>41423.546946105227</v>
      </c>
    </row>
    <row r="94" spans="2:11" x14ac:dyDescent="0.3">
      <c r="B94" s="30">
        <f>IF(LoanIsGood,IF(ROW()-ROW(PaymentSchedule4[[#Headers],[PMT NO]])&gt;ScheduledNumberOfPayments,"",ROW()-ROW(PaymentSchedule4[[#Headers],[PMT NO]])),"")</f>
        <v>79</v>
      </c>
      <c r="C94" s="31">
        <f>IF(PaymentSchedule4[[#This Row],[PMT NO]]&lt;&gt;"",EOMONTH(LoanStartDate,ROW(PaymentSchedule4[[#This Row],[PMT NO]])-ROW(PaymentSchedule4[[#Headers],[PMT NO]])-2)+DAY(LoanStartDate),"")</f>
        <v>45748</v>
      </c>
      <c r="D94" s="32">
        <f>IF(PaymentSchedule4[[#This Row],[PMT NO]]&lt;&gt;"",IF(ROW()-ROW(PaymentSchedule4[[#Headers],[BEGINNING BALANCE]])=1,LoanAmount,INDEX(PaymentSchedule4[ENDING BALANCE],ROW()-ROW(PaymentSchedule4[[#Headers],[BEGINNING BALANCE]])-1)),"")</f>
        <v>132141.3656964773</v>
      </c>
      <c r="E94" s="32">
        <f>IF(PaymentSchedule4[[#This Row],[PMT NO]]&lt;&gt;"",ScheduledPayment,"")</f>
        <v>760.02796473882097</v>
      </c>
      <c r="F9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9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94" s="32">
        <f>IF(PaymentSchedule4[[#This Row],[PMT NO]]&lt;&gt;"",PaymentSchedule4[[#This Row],[TOTAL PAYMENT]]-PaymentSchedule4[[#This Row],[INTEREST]],"")</f>
        <v>264.49784337703113</v>
      </c>
      <c r="I94" s="32">
        <f>IF(PaymentSchedule4[[#This Row],[PMT NO]]&lt;&gt;"",PaymentSchedule4[[#This Row],[BEGINNING BALANCE]]*(InterestRate/PaymentsPerYear),"")</f>
        <v>495.53012136178984</v>
      </c>
      <c r="J9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131876.86785310027</v>
      </c>
      <c r="K94" s="32">
        <f>IF(PaymentSchedule4[[#This Row],[PMT NO]]&lt;&gt;"",SUM(INDEX(PaymentSchedule4[INTEREST],1,1):PaymentSchedule4[[#This Row],[INTEREST]]),"")</f>
        <v>41919.07706746702</v>
      </c>
    </row>
    <row r="95" spans="2:11" x14ac:dyDescent="0.3">
      <c r="B95" s="30">
        <f>IF(LoanIsGood,IF(ROW()-ROW(PaymentSchedule4[[#Headers],[PMT NO]])&gt;ScheduledNumberOfPayments,"",ROW()-ROW(PaymentSchedule4[[#Headers],[PMT NO]])),"")</f>
        <v>80</v>
      </c>
      <c r="C95" s="31">
        <f>IF(PaymentSchedule4[[#This Row],[PMT NO]]&lt;&gt;"",EOMONTH(LoanStartDate,ROW(PaymentSchedule4[[#This Row],[PMT NO]])-ROW(PaymentSchedule4[[#Headers],[PMT NO]])-2)+DAY(LoanStartDate),"")</f>
        <v>45778</v>
      </c>
      <c r="D95" s="32">
        <f>IF(PaymentSchedule4[[#This Row],[PMT NO]]&lt;&gt;"",IF(ROW()-ROW(PaymentSchedule4[[#Headers],[BEGINNING BALANCE]])=1,LoanAmount,INDEX(PaymentSchedule4[ENDING BALANCE],ROW()-ROW(PaymentSchedule4[[#Headers],[BEGINNING BALANCE]])-1)),"")</f>
        <v>131876.86785310027</v>
      </c>
      <c r="E95" s="32">
        <f>IF(PaymentSchedule4[[#This Row],[PMT NO]]&lt;&gt;"",ScheduledPayment,"")</f>
        <v>760.02796473882097</v>
      </c>
      <c r="F9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9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95" s="32">
        <f>IF(PaymentSchedule4[[#This Row],[PMT NO]]&lt;&gt;"",PaymentSchedule4[[#This Row],[TOTAL PAYMENT]]-PaymentSchedule4[[#This Row],[INTEREST]],"")</f>
        <v>265.48971028969498</v>
      </c>
      <c r="I95" s="32">
        <f>IF(PaymentSchedule4[[#This Row],[PMT NO]]&lt;&gt;"",PaymentSchedule4[[#This Row],[BEGINNING BALANCE]]*(InterestRate/PaymentsPerYear),"")</f>
        <v>494.53825444912599</v>
      </c>
      <c r="J9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131611.37814281057</v>
      </c>
      <c r="K95" s="32">
        <f>IF(PaymentSchedule4[[#This Row],[PMT NO]]&lt;&gt;"",SUM(INDEX(PaymentSchedule4[INTEREST],1,1):PaymentSchedule4[[#This Row],[INTEREST]]),"")</f>
        <v>42413.61532191615</v>
      </c>
    </row>
    <row r="96" spans="2:11" x14ac:dyDescent="0.3">
      <c r="B96" s="30">
        <f>IF(LoanIsGood,IF(ROW()-ROW(PaymentSchedule4[[#Headers],[PMT NO]])&gt;ScheduledNumberOfPayments,"",ROW()-ROW(PaymentSchedule4[[#Headers],[PMT NO]])),"")</f>
        <v>81</v>
      </c>
      <c r="C96" s="31">
        <f>IF(PaymentSchedule4[[#This Row],[PMT NO]]&lt;&gt;"",EOMONTH(LoanStartDate,ROW(PaymentSchedule4[[#This Row],[PMT NO]])-ROW(PaymentSchedule4[[#Headers],[PMT NO]])-2)+DAY(LoanStartDate),"")</f>
        <v>45809</v>
      </c>
      <c r="D96" s="32">
        <f>IF(PaymentSchedule4[[#This Row],[PMT NO]]&lt;&gt;"",IF(ROW()-ROW(PaymentSchedule4[[#Headers],[BEGINNING BALANCE]])=1,LoanAmount,INDEX(PaymentSchedule4[ENDING BALANCE],ROW()-ROW(PaymentSchedule4[[#Headers],[BEGINNING BALANCE]])-1)),"")</f>
        <v>131611.37814281057</v>
      </c>
      <c r="E96" s="32">
        <f>IF(PaymentSchedule4[[#This Row],[PMT NO]]&lt;&gt;"",ScheduledPayment,"")</f>
        <v>760.02796473882097</v>
      </c>
      <c r="F9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9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96" s="32">
        <f>IF(PaymentSchedule4[[#This Row],[PMT NO]]&lt;&gt;"",PaymentSchedule4[[#This Row],[TOTAL PAYMENT]]-PaymentSchedule4[[#This Row],[INTEREST]],"")</f>
        <v>266.48529670328134</v>
      </c>
      <c r="I96" s="32">
        <f>IF(PaymentSchedule4[[#This Row],[PMT NO]]&lt;&gt;"",PaymentSchedule4[[#This Row],[BEGINNING BALANCE]]*(InterestRate/PaymentsPerYear),"")</f>
        <v>493.54266803553963</v>
      </c>
      <c r="J9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131344.89284610728</v>
      </c>
      <c r="K96" s="32">
        <f>IF(PaymentSchedule4[[#This Row],[PMT NO]]&lt;&gt;"",SUM(INDEX(PaymentSchedule4[INTEREST],1,1):PaymentSchedule4[[#This Row],[INTEREST]]),"")</f>
        <v>42907.157989951687</v>
      </c>
    </row>
    <row r="97" spans="2:11" x14ac:dyDescent="0.3">
      <c r="B97" s="30">
        <f>IF(LoanIsGood,IF(ROW()-ROW(PaymentSchedule4[[#Headers],[PMT NO]])&gt;ScheduledNumberOfPayments,"",ROW()-ROW(PaymentSchedule4[[#Headers],[PMT NO]])),"")</f>
        <v>82</v>
      </c>
      <c r="C97" s="31">
        <f>IF(PaymentSchedule4[[#This Row],[PMT NO]]&lt;&gt;"",EOMONTH(LoanStartDate,ROW(PaymentSchedule4[[#This Row],[PMT NO]])-ROW(PaymentSchedule4[[#Headers],[PMT NO]])-2)+DAY(LoanStartDate),"")</f>
        <v>45839</v>
      </c>
      <c r="D97" s="32">
        <f>IF(PaymentSchedule4[[#This Row],[PMT NO]]&lt;&gt;"",IF(ROW()-ROW(PaymentSchedule4[[#Headers],[BEGINNING BALANCE]])=1,LoanAmount,INDEX(PaymentSchedule4[ENDING BALANCE],ROW()-ROW(PaymentSchedule4[[#Headers],[BEGINNING BALANCE]])-1)),"")</f>
        <v>131344.89284610728</v>
      </c>
      <c r="E97" s="32">
        <f>IF(PaymentSchedule4[[#This Row],[PMT NO]]&lt;&gt;"",ScheduledPayment,"")</f>
        <v>760.02796473882097</v>
      </c>
      <c r="F9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9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97" s="32">
        <f>IF(PaymentSchedule4[[#This Row],[PMT NO]]&lt;&gt;"",PaymentSchedule4[[#This Row],[TOTAL PAYMENT]]-PaymentSchedule4[[#This Row],[INTEREST]],"")</f>
        <v>267.48461656591871</v>
      </c>
      <c r="I97" s="32">
        <f>IF(PaymentSchedule4[[#This Row],[PMT NO]]&lt;&gt;"",PaymentSchedule4[[#This Row],[BEGINNING BALANCE]]*(InterestRate/PaymentsPerYear),"")</f>
        <v>492.54334817290226</v>
      </c>
      <c r="J9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131077.40822954135</v>
      </c>
      <c r="K97" s="32">
        <f>IF(PaymentSchedule4[[#This Row],[PMT NO]]&lt;&gt;"",SUM(INDEX(PaymentSchedule4[INTEREST],1,1):PaymentSchedule4[[#This Row],[INTEREST]]),"")</f>
        <v>43399.701338124592</v>
      </c>
    </row>
    <row r="98" spans="2:11" x14ac:dyDescent="0.3">
      <c r="B98" s="30">
        <f>IF(LoanIsGood,IF(ROW()-ROW(PaymentSchedule4[[#Headers],[PMT NO]])&gt;ScheduledNumberOfPayments,"",ROW()-ROW(PaymentSchedule4[[#Headers],[PMT NO]])),"")</f>
        <v>83</v>
      </c>
      <c r="C98" s="31">
        <f>IF(PaymentSchedule4[[#This Row],[PMT NO]]&lt;&gt;"",EOMONTH(LoanStartDate,ROW(PaymentSchedule4[[#This Row],[PMT NO]])-ROW(PaymentSchedule4[[#Headers],[PMT NO]])-2)+DAY(LoanStartDate),"")</f>
        <v>45870</v>
      </c>
      <c r="D98" s="32">
        <f>IF(PaymentSchedule4[[#This Row],[PMT NO]]&lt;&gt;"",IF(ROW()-ROW(PaymentSchedule4[[#Headers],[BEGINNING BALANCE]])=1,LoanAmount,INDEX(PaymentSchedule4[ENDING BALANCE],ROW()-ROW(PaymentSchedule4[[#Headers],[BEGINNING BALANCE]])-1)),"")</f>
        <v>131077.40822954135</v>
      </c>
      <c r="E98" s="32">
        <f>IF(PaymentSchedule4[[#This Row],[PMT NO]]&lt;&gt;"",ScheduledPayment,"")</f>
        <v>760.02796473882097</v>
      </c>
      <c r="F9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9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98" s="32">
        <f>IF(PaymentSchedule4[[#This Row],[PMT NO]]&lt;&gt;"",PaymentSchedule4[[#This Row],[TOTAL PAYMENT]]-PaymentSchedule4[[#This Row],[INTEREST]],"")</f>
        <v>268.48768387804091</v>
      </c>
      <c r="I98" s="32">
        <f>IF(PaymentSchedule4[[#This Row],[PMT NO]]&lt;&gt;"",PaymentSchedule4[[#This Row],[BEGINNING BALANCE]]*(InterestRate/PaymentsPerYear),"")</f>
        <v>491.54028086078006</v>
      </c>
      <c r="J9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130808.92054566331</v>
      </c>
      <c r="K98" s="32">
        <f>IF(PaymentSchedule4[[#This Row],[PMT NO]]&lt;&gt;"",SUM(INDEX(PaymentSchedule4[INTEREST],1,1):PaymentSchedule4[[#This Row],[INTEREST]]),"")</f>
        <v>43891.241618985376</v>
      </c>
    </row>
    <row r="99" spans="2:11" x14ac:dyDescent="0.3">
      <c r="B99" s="30">
        <f>IF(LoanIsGood,IF(ROW()-ROW(PaymentSchedule4[[#Headers],[PMT NO]])&gt;ScheduledNumberOfPayments,"",ROW()-ROW(PaymentSchedule4[[#Headers],[PMT NO]])),"")</f>
        <v>84</v>
      </c>
      <c r="C99" s="31">
        <f>IF(PaymentSchedule4[[#This Row],[PMT NO]]&lt;&gt;"",EOMONTH(LoanStartDate,ROW(PaymentSchedule4[[#This Row],[PMT NO]])-ROW(PaymentSchedule4[[#Headers],[PMT NO]])-2)+DAY(LoanStartDate),"")</f>
        <v>45901</v>
      </c>
      <c r="D99" s="32">
        <f>IF(PaymentSchedule4[[#This Row],[PMT NO]]&lt;&gt;"",IF(ROW()-ROW(PaymentSchedule4[[#Headers],[BEGINNING BALANCE]])=1,LoanAmount,INDEX(PaymentSchedule4[ENDING BALANCE],ROW()-ROW(PaymentSchedule4[[#Headers],[BEGINNING BALANCE]])-1)),"")</f>
        <v>130808.92054566331</v>
      </c>
      <c r="E99" s="32">
        <f>IF(PaymentSchedule4[[#This Row],[PMT NO]]&lt;&gt;"",ScheduledPayment,"")</f>
        <v>760.02796473882097</v>
      </c>
      <c r="F9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9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99" s="32">
        <f>IF(PaymentSchedule4[[#This Row],[PMT NO]]&lt;&gt;"",PaymentSchedule4[[#This Row],[TOTAL PAYMENT]]-PaymentSchedule4[[#This Row],[INTEREST]],"")</f>
        <v>269.49451269258361</v>
      </c>
      <c r="I99" s="32">
        <f>IF(PaymentSchedule4[[#This Row],[PMT NO]]&lt;&gt;"",PaymentSchedule4[[#This Row],[BEGINNING BALANCE]]*(InterestRate/PaymentsPerYear),"")</f>
        <v>490.53345204623736</v>
      </c>
      <c r="J9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130539.42603297072</v>
      </c>
      <c r="K99" s="32">
        <f>IF(PaymentSchedule4[[#This Row],[PMT NO]]&lt;&gt;"",SUM(INDEX(PaymentSchedule4[INTEREST],1,1):PaymentSchedule4[[#This Row],[INTEREST]]),"")</f>
        <v>44381.77507103161</v>
      </c>
    </row>
    <row r="100" spans="2:11" x14ac:dyDescent="0.3">
      <c r="B100" s="30">
        <f>IF(LoanIsGood,IF(ROW()-ROW(PaymentSchedule4[[#Headers],[PMT NO]])&gt;ScheduledNumberOfPayments,"",ROW()-ROW(PaymentSchedule4[[#Headers],[PMT NO]])),"")</f>
        <v>85</v>
      </c>
      <c r="C100" s="31">
        <f>IF(PaymentSchedule4[[#This Row],[PMT NO]]&lt;&gt;"",EOMONTH(LoanStartDate,ROW(PaymentSchedule4[[#This Row],[PMT NO]])-ROW(PaymentSchedule4[[#Headers],[PMT NO]])-2)+DAY(LoanStartDate),"")</f>
        <v>45931</v>
      </c>
      <c r="D100" s="32">
        <f>IF(PaymentSchedule4[[#This Row],[PMT NO]]&lt;&gt;"",IF(ROW()-ROW(PaymentSchedule4[[#Headers],[BEGINNING BALANCE]])=1,LoanAmount,INDEX(PaymentSchedule4[ENDING BALANCE],ROW()-ROW(PaymentSchedule4[[#Headers],[BEGINNING BALANCE]])-1)),"")</f>
        <v>130539.42603297072</v>
      </c>
      <c r="E100" s="32">
        <f>IF(PaymentSchedule4[[#This Row],[PMT NO]]&lt;&gt;"",ScheduledPayment,"")</f>
        <v>760.02796473882097</v>
      </c>
      <c r="F10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0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00" s="32">
        <f>IF(PaymentSchedule4[[#This Row],[PMT NO]]&lt;&gt;"",PaymentSchedule4[[#This Row],[TOTAL PAYMENT]]-PaymentSchedule4[[#This Row],[INTEREST]],"")</f>
        <v>270.50511711518078</v>
      </c>
      <c r="I100" s="32">
        <f>IF(PaymentSchedule4[[#This Row],[PMT NO]]&lt;&gt;"",PaymentSchedule4[[#This Row],[BEGINNING BALANCE]]*(InterestRate/PaymentsPerYear),"")</f>
        <v>489.52284762364019</v>
      </c>
      <c r="J10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130268.92091585553</v>
      </c>
      <c r="K100" s="32">
        <f>IF(PaymentSchedule4[[#This Row],[PMT NO]]&lt;&gt;"",SUM(INDEX(PaymentSchedule4[INTEREST],1,1):PaymentSchedule4[[#This Row],[INTEREST]]),"")</f>
        <v>44871.297918655247</v>
      </c>
    </row>
    <row r="101" spans="2:11" x14ac:dyDescent="0.3">
      <c r="B101" s="30">
        <f>IF(LoanIsGood,IF(ROW()-ROW(PaymentSchedule4[[#Headers],[PMT NO]])&gt;ScheduledNumberOfPayments,"",ROW()-ROW(PaymentSchedule4[[#Headers],[PMT NO]])),"")</f>
        <v>86</v>
      </c>
      <c r="C101" s="31">
        <f>IF(PaymentSchedule4[[#This Row],[PMT NO]]&lt;&gt;"",EOMONTH(LoanStartDate,ROW(PaymentSchedule4[[#This Row],[PMT NO]])-ROW(PaymentSchedule4[[#Headers],[PMT NO]])-2)+DAY(LoanStartDate),"")</f>
        <v>45962</v>
      </c>
      <c r="D101" s="32">
        <f>IF(PaymentSchedule4[[#This Row],[PMT NO]]&lt;&gt;"",IF(ROW()-ROW(PaymentSchedule4[[#Headers],[BEGINNING BALANCE]])=1,LoanAmount,INDEX(PaymentSchedule4[ENDING BALANCE],ROW()-ROW(PaymentSchedule4[[#Headers],[BEGINNING BALANCE]])-1)),"")</f>
        <v>130268.92091585553</v>
      </c>
      <c r="E101" s="32">
        <f>IF(PaymentSchedule4[[#This Row],[PMT NO]]&lt;&gt;"",ScheduledPayment,"")</f>
        <v>760.02796473882097</v>
      </c>
      <c r="F10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0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01" s="32">
        <f>IF(PaymentSchedule4[[#This Row],[PMT NO]]&lt;&gt;"",PaymentSchedule4[[#This Row],[TOTAL PAYMENT]]-PaymentSchedule4[[#This Row],[INTEREST]],"")</f>
        <v>271.51951130436277</v>
      </c>
      <c r="I101" s="32">
        <f>IF(PaymentSchedule4[[#This Row],[PMT NO]]&lt;&gt;"",PaymentSchedule4[[#This Row],[BEGINNING BALANCE]]*(InterestRate/PaymentsPerYear),"")</f>
        <v>488.5084534344582</v>
      </c>
      <c r="J10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129997.40140455117</v>
      </c>
      <c r="K101" s="32">
        <f>IF(PaymentSchedule4[[#This Row],[PMT NO]]&lt;&gt;"",SUM(INDEX(PaymentSchedule4[INTEREST],1,1):PaymentSchedule4[[#This Row],[INTEREST]]),"")</f>
        <v>45359.806372089704</v>
      </c>
    </row>
    <row r="102" spans="2:11" x14ac:dyDescent="0.3">
      <c r="B102" s="30">
        <f>IF(LoanIsGood,IF(ROW()-ROW(PaymentSchedule4[[#Headers],[PMT NO]])&gt;ScheduledNumberOfPayments,"",ROW()-ROW(PaymentSchedule4[[#Headers],[PMT NO]])),"")</f>
        <v>87</v>
      </c>
      <c r="C102" s="31">
        <f>IF(PaymentSchedule4[[#This Row],[PMT NO]]&lt;&gt;"",EOMONTH(LoanStartDate,ROW(PaymentSchedule4[[#This Row],[PMT NO]])-ROW(PaymentSchedule4[[#Headers],[PMT NO]])-2)+DAY(LoanStartDate),"")</f>
        <v>45992</v>
      </c>
      <c r="D102" s="32">
        <f>IF(PaymentSchedule4[[#This Row],[PMT NO]]&lt;&gt;"",IF(ROW()-ROW(PaymentSchedule4[[#Headers],[BEGINNING BALANCE]])=1,LoanAmount,INDEX(PaymentSchedule4[ENDING BALANCE],ROW()-ROW(PaymentSchedule4[[#Headers],[BEGINNING BALANCE]])-1)),"")</f>
        <v>129997.40140455117</v>
      </c>
      <c r="E102" s="32">
        <f>IF(PaymentSchedule4[[#This Row],[PMT NO]]&lt;&gt;"",ScheduledPayment,"")</f>
        <v>760.02796473882097</v>
      </c>
      <c r="F10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0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02" s="32">
        <f>IF(PaymentSchedule4[[#This Row],[PMT NO]]&lt;&gt;"",PaymentSchedule4[[#This Row],[TOTAL PAYMENT]]-PaymentSchedule4[[#This Row],[INTEREST]],"")</f>
        <v>272.53770947175411</v>
      </c>
      <c r="I102" s="32">
        <f>IF(PaymentSchedule4[[#This Row],[PMT NO]]&lt;&gt;"",PaymentSchedule4[[#This Row],[BEGINNING BALANCE]]*(InterestRate/PaymentsPerYear),"")</f>
        <v>487.49025526706686</v>
      </c>
      <c r="J10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129724.86369507942</v>
      </c>
      <c r="K102" s="32">
        <f>IF(PaymentSchedule4[[#This Row],[PMT NO]]&lt;&gt;"",SUM(INDEX(PaymentSchedule4[INTEREST],1,1):PaymentSchedule4[[#This Row],[INTEREST]]),"")</f>
        <v>45847.296627356773</v>
      </c>
    </row>
    <row r="103" spans="2:11" x14ac:dyDescent="0.3">
      <c r="B103" s="30">
        <f>IF(LoanIsGood,IF(ROW()-ROW(PaymentSchedule4[[#Headers],[PMT NO]])&gt;ScheduledNumberOfPayments,"",ROW()-ROW(PaymentSchedule4[[#Headers],[PMT NO]])),"")</f>
        <v>88</v>
      </c>
      <c r="C103" s="31">
        <f>IF(PaymentSchedule4[[#This Row],[PMT NO]]&lt;&gt;"",EOMONTH(LoanStartDate,ROW(PaymentSchedule4[[#This Row],[PMT NO]])-ROW(PaymentSchedule4[[#Headers],[PMT NO]])-2)+DAY(LoanStartDate),"")</f>
        <v>46023</v>
      </c>
      <c r="D103" s="32">
        <f>IF(PaymentSchedule4[[#This Row],[PMT NO]]&lt;&gt;"",IF(ROW()-ROW(PaymentSchedule4[[#Headers],[BEGINNING BALANCE]])=1,LoanAmount,INDEX(PaymentSchedule4[ENDING BALANCE],ROW()-ROW(PaymentSchedule4[[#Headers],[BEGINNING BALANCE]])-1)),"")</f>
        <v>129724.86369507942</v>
      </c>
      <c r="E103" s="32">
        <f>IF(PaymentSchedule4[[#This Row],[PMT NO]]&lt;&gt;"",ScheduledPayment,"")</f>
        <v>760.02796473882097</v>
      </c>
      <c r="F10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0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03" s="32">
        <f>IF(PaymentSchedule4[[#This Row],[PMT NO]]&lt;&gt;"",PaymentSchedule4[[#This Row],[TOTAL PAYMENT]]-PaymentSchedule4[[#This Row],[INTEREST]],"")</f>
        <v>273.5597258822732</v>
      </c>
      <c r="I103" s="32">
        <f>IF(PaymentSchedule4[[#This Row],[PMT NO]]&lt;&gt;"",PaymentSchedule4[[#This Row],[BEGINNING BALANCE]]*(InterestRate/PaymentsPerYear),"")</f>
        <v>486.46823885654777</v>
      </c>
      <c r="J10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129451.30396919715</v>
      </c>
      <c r="K103" s="32">
        <f>IF(PaymentSchedule4[[#This Row],[PMT NO]]&lt;&gt;"",SUM(INDEX(PaymentSchedule4[INTEREST],1,1):PaymentSchedule4[[#This Row],[INTEREST]]),"")</f>
        <v>46333.764866213322</v>
      </c>
    </row>
    <row r="104" spans="2:11" x14ac:dyDescent="0.3">
      <c r="B104" s="30">
        <f>IF(LoanIsGood,IF(ROW()-ROW(PaymentSchedule4[[#Headers],[PMT NO]])&gt;ScheduledNumberOfPayments,"",ROW()-ROW(PaymentSchedule4[[#Headers],[PMT NO]])),"")</f>
        <v>89</v>
      </c>
      <c r="C104" s="31">
        <f>IF(PaymentSchedule4[[#This Row],[PMT NO]]&lt;&gt;"",EOMONTH(LoanStartDate,ROW(PaymentSchedule4[[#This Row],[PMT NO]])-ROW(PaymentSchedule4[[#Headers],[PMT NO]])-2)+DAY(LoanStartDate),"")</f>
        <v>46054</v>
      </c>
      <c r="D104" s="32">
        <f>IF(PaymentSchedule4[[#This Row],[PMT NO]]&lt;&gt;"",IF(ROW()-ROW(PaymentSchedule4[[#Headers],[BEGINNING BALANCE]])=1,LoanAmount,INDEX(PaymentSchedule4[ENDING BALANCE],ROW()-ROW(PaymentSchedule4[[#Headers],[BEGINNING BALANCE]])-1)),"")</f>
        <v>129451.30396919715</v>
      </c>
      <c r="E104" s="32">
        <f>IF(PaymentSchedule4[[#This Row],[PMT NO]]&lt;&gt;"",ScheduledPayment,"")</f>
        <v>760.02796473882097</v>
      </c>
      <c r="F10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0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04" s="32">
        <f>IF(PaymentSchedule4[[#This Row],[PMT NO]]&lt;&gt;"",PaymentSchedule4[[#This Row],[TOTAL PAYMENT]]-PaymentSchedule4[[#This Row],[INTEREST]],"")</f>
        <v>274.5855748543317</v>
      </c>
      <c r="I104" s="32">
        <f>IF(PaymentSchedule4[[#This Row],[PMT NO]]&lt;&gt;"",PaymentSchedule4[[#This Row],[BEGINNING BALANCE]]*(InterestRate/PaymentsPerYear),"")</f>
        <v>485.44238988448927</v>
      </c>
      <c r="J10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129176.71839434282</v>
      </c>
      <c r="K104" s="32">
        <f>IF(PaymentSchedule4[[#This Row],[PMT NO]]&lt;&gt;"",SUM(INDEX(PaymentSchedule4[INTEREST],1,1):PaymentSchedule4[[#This Row],[INTEREST]]),"")</f>
        <v>46819.207256097812</v>
      </c>
    </row>
    <row r="105" spans="2:11" x14ac:dyDescent="0.3">
      <c r="B105" s="30">
        <f>IF(LoanIsGood,IF(ROW()-ROW(PaymentSchedule4[[#Headers],[PMT NO]])&gt;ScheduledNumberOfPayments,"",ROW()-ROW(PaymentSchedule4[[#Headers],[PMT NO]])),"")</f>
        <v>90</v>
      </c>
      <c r="C105" s="31">
        <f>IF(PaymentSchedule4[[#This Row],[PMT NO]]&lt;&gt;"",EOMONTH(LoanStartDate,ROW(PaymentSchedule4[[#This Row],[PMT NO]])-ROW(PaymentSchedule4[[#Headers],[PMT NO]])-2)+DAY(LoanStartDate),"")</f>
        <v>46082</v>
      </c>
      <c r="D105" s="32">
        <f>IF(PaymentSchedule4[[#This Row],[PMT NO]]&lt;&gt;"",IF(ROW()-ROW(PaymentSchedule4[[#Headers],[BEGINNING BALANCE]])=1,LoanAmount,INDEX(PaymentSchedule4[ENDING BALANCE],ROW()-ROW(PaymentSchedule4[[#Headers],[BEGINNING BALANCE]])-1)),"")</f>
        <v>129176.71839434282</v>
      </c>
      <c r="E105" s="32">
        <f>IF(PaymentSchedule4[[#This Row],[PMT NO]]&lt;&gt;"",ScheduledPayment,"")</f>
        <v>760.02796473882097</v>
      </c>
      <c r="F10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0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05" s="32">
        <f>IF(PaymentSchedule4[[#This Row],[PMT NO]]&lt;&gt;"",PaymentSchedule4[[#This Row],[TOTAL PAYMENT]]-PaymentSchedule4[[#This Row],[INTEREST]],"")</f>
        <v>275.6152707600354</v>
      </c>
      <c r="I105" s="32">
        <f>IF(PaymentSchedule4[[#This Row],[PMT NO]]&lt;&gt;"",PaymentSchedule4[[#This Row],[BEGINNING BALANCE]]*(InterestRate/PaymentsPerYear),"")</f>
        <v>484.41269397878557</v>
      </c>
      <c r="J10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128901.10312358278</v>
      </c>
      <c r="K105" s="32">
        <f>IF(PaymentSchedule4[[#This Row],[PMT NO]]&lt;&gt;"",SUM(INDEX(PaymentSchedule4[INTEREST],1,1):PaymentSchedule4[[#This Row],[INTEREST]]),"")</f>
        <v>47303.619950076594</v>
      </c>
    </row>
    <row r="106" spans="2:11" x14ac:dyDescent="0.3">
      <c r="B106" s="30">
        <f>IF(LoanIsGood,IF(ROW()-ROW(PaymentSchedule4[[#Headers],[PMT NO]])&gt;ScheduledNumberOfPayments,"",ROW()-ROW(PaymentSchedule4[[#Headers],[PMT NO]])),"")</f>
        <v>91</v>
      </c>
      <c r="C106" s="31">
        <f>IF(PaymentSchedule4[[#This Row],[PMT NO]]&lt;&gt;"",EOMONTH(LoanStartDate,ROW(PaymentSchedule4[[#This Row],[PMT NO]])-ROW(PaymentSchedule4[[#Headers],[PMT NO]])-2)+DAY(LoanStartDate),"")</f>
        <v>46113</v>
      </c>
      <c r="D106" s="32">
        <f>IF(PaymentSchedule4[[#This Row],[PMT NO]]&lt;&gt;"",IF(ROW()-ROW(PaymentSchedule4[[#Headers],[BEGINNING BALANCE]])=1,LoanAmount,INDEX(PaymentSchedule4[ENDING BALANCE],ROW()-ROW(PaymentSchedule4[[#Headers],[BEGINNING BALANCE]])-1)),"")</f>
        <v>128901.10312358278</v>
      </c>
      <c r="E106" s="32">
        <f>IF(PaymentSchedule4[[#This Row],[PMT NO]]&lt;&gt;"",ScheduledPayment,"")</f>
        <v>760.02796473882097</v>
      </c>
      <c r="F10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0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06" s="32">
        <f>IF(PaymentSchedule4[[#This Row],[PMT NO]]&lt;&gt;"",PaymentSchedule4[[#This Row],[TOTAL PAYMENT]]-PaymentSchedule4[[#This Row],[INTEREST]],"")</f>
        <v>276.64882802538557</v>
      </c>
      <c r="I106" s="32">
        <f>IF(PaymentSchedule4[[#This Row],[PMT NO]]&lt;&gt;"",PaymentSchedule4[[#This Row],[BEGINNING BALANCE]]*(InterestRate/PaymentsPerYear),"")</f>
        <v>483.3791367134354</v>
      </c>
      <c r="J10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128624.4542955574</v>
      </c>
      <c r="K106" s="32">
        <f>IF(PaymentSchedule4[[#This Row],[PMT NO]]&lt;&gt;"",SUM(INDEX(PaymentSchedule4[INTEREST],1,1):PaymentSchedule4[[#This Row],[INTEREST]]),"")</f>
        <v>47786.999086790027</v>
      </c>
    </row>
    <row r="107" spans="2:11" x14ac:dyDescent="0.3">
      <c r="B107" s="30">
        <f>IF(LoanIsGood,IF(ROW()-ROW(PaymentSchedule4[[#Headers],[PMT NO]])&gt;ScheduledNumberOfPayments,"",ROW()-ROW(PaymentSchedule4[[#Headers],[PMT NO]])),"")</f>
        <v>92</v>
      </c>
      <c r="C107" s="31">
        <f>IF(PaymentSchedule4[[#This Row],[PMT NO]]&lt;&gt;"",EOMONTH(LoanStartDate,ROW(PaymentSchedule4[[#This Row],[PMT NO]])-ROW(PaymentSchedule4[[#Headers],[PMT NO]])-2)+DAY(LoanStartDate),"")</f>
        <v>46143</v>
      </c>
      <c r="D107" s="32">
        <f>IF(PaymentSchedule4[[#This Row],[PMT NO]]&lt;&gt;"",IF(ROW()-ROW(PaymentSchedule4[[#Headers],[BEGINNING BALANCE]])=1,LoanAmount,INDEX(PaymentSchedule4[ENDING BALANCE],ROW()-ROW(PaymentSchedule4[[#Headers],[BEGINNING BALANCE]])-1)),"")</f>
        <v>128624.4542955574</v>
      </c>
      <c r="E107" s="32">
        <f>IF(PaymentSchedule4[[#This Row],[PMT NO]]&lt;&gt;"",ScheduledPayment,"")</f>
        <v>760.02796473882097</v>
      </c>
      <c r="F10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0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07" s="32">
        <f>IF(PaymentSchedule4[[#This Row],[PMT NO]]&lt;&gt;"",PaymentSchedule4[[#This Row],[TOTAL PAYMENT]]-PaymentSchedule4[[#This Row],[INTEREST]],"")</f>
        <v>277.68626113048072</v>
      </c>
      <c r="I107" s="32">
        <f>IF(PaymentSchedule4[[#This Row],[PMT NO]]&lt;&gt;"",PaymentSchedule4[[#This Row],[BEGINNING BALANCE]]*(InterestRate/PaymentsPerYear),"")</f>
        <v>482.34170360834025</v>
      </c>
      <c r="J10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128346.76803442692</v>
      </c>
      <c r="K107" s="32">
        <f>IF(PaymentSchedule4[[#This Row],[PMT NO]]&lt;&gt;"",SUM(INDEX(PaymentSchedule4[INTEREST],1,1):PaymentSchedule4[[#This Row],[INTEREST]]),"")</f>
        <v>48269.340790398368</v>
      </c>
    </row>
    <row r="108" spans="2:11" x14ac:dyDescent="0.3">
      <c r="B108" s="30">
        <f>IF(LoanIsGood,IF(ROW()-ROW(PaymentSchedule4[[#Headers],[PMT NO]])&gt;ScheduledNumberOfPayments,"",ROW()-ROW(PaymentSchedule4[[#Headers],[PMT NO]])),"")</f>
        <v>93</v>
      </c>
      <c r="C108" s="31">
        <f>IF(PaymentSchedule4[[#This Row],[PMT NO]]&lt;&gt;"",EOMONTH(LoanStartDate,ROW(PaymentSchedule4[[#This Row],[PMT NO]])-ROW(PaymentSchedule4[[#Headers],[PMT NO]])-2)+DAY(LoanStartDate),"")</f>
        <v>46174</v>
      </c>
      <c r="D108" s="32">
        <f>IF(PaymentSchedule4[[#This Row],[PMT NO]]&lt;&gt;"",IF(ROW()-ROW(PaymentSchedule4[[#Headers],[BEGINNING BALANCE]])=1,LoanAmount,INDEX(PaymentSchedule4[ENDING BALANCE],ROW()-ROW(PaymentSchedule4[[#Headers],[BEGINNING BALANCE]])-1)),"")</f>
        <v>128346.76803442692</v>
      </c>
      <c r="E108" s="32">
        <f>IF(PaymentSchedule4[[#This Row],[PMT NO]]&lt;&gt;"",ScheduledPayment,"")</f>
        <v>760.02796473882097</v>
      </c>
      <c r="F10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0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08" s="32">
        <f>IF(PaymentSchedule4[[#This Row],[PMT NO]]&lt;&gt;"",PaymentSchedule4[[#This Row],[TOTAL PAYMENT]]-PaymentSchedule4[[#This Row],[INTEREST]],"")</f>
        <v>278.72758460972005</v>
      </c>
      <c r="I108" s="32">
        <f>IF(PaymentSchedule4[[#This Row],[PMT NO]]&lt;&gt;"",PaymentSchedule4[[#This Row],[BEGINNING BALANCE]]*(InterestRate/PaymentsPerYear),"")</f>
        <v>481.30038012910092</v>
      </c>
      <c r="J10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128068.0404498172</v>
      </c>
      <c r="K108" s="32">
        <f>IF(PaymentSchedule4[[#This Row],[PMT NO]]&lt;&gt;"",SUM(INDEX(PaymentSchedule4[INTEREST],1,1):PaymentSchedule4[[#This Row],[INTEREST]]),"")</f>
        <v>48750.641170527466</v>
      </c>
    </row>
    <row r="109" spans="2:11" x14ac:dyDescent="0.3">
      <c r="B109" s="30">
        <f>IF(LoanIsGood,IF(ROW()-ROW(PaymentSchedule4[[#Headers],[PMT NO]])&gt;ScheduledNumberOfPayments,"",ROW()-ROW(PaymentSchedule4[[#Headers],[PMT NO]])),"")</f>
        <v>94</v>
      </c>
      <c r="C109" s="31">
        <f>IF(PaymentSchedule4[[#This Row],[PMT NO]]&lt;&gt;"",EOMONTH(LoanStartDate,ROW(PaymentSchedule4[[#This Row],[PMT NO]])-ROW(PaymentSchedule4[[#Headers],[PMT NO]])-2)+DAY(LoanStartDate),"")</f>
        <v>46204</v>
      </c>
      <c r="D109" s="32">
        <f>IF(PaymentSchedule4[[#This Row],[PMT NO]]&lt;&gt;"",IF(ROW()-ROW(PaymentSchedule4[[#Headers],[BEGINNING BALANCE]])=1,LoanAmount,INDEX(PaymentSchedule4[ENDING BALANCE],ROW()-ROW(PaymentSchedule4[[#Headers],[BEGINNING BALANCE]])-1)),"")</f>
        <v>128068.0404498172</v>
      </c>
      <c r="E109" s="32">
        <f>IF(PaymentSchedule4[[#This Row],[PMT NO]]&lt;&gt;"",ScheduledPayment,"")</f>
        <v>760.02796473882097</v>
      </c>
      <c r="F10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0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09" s="32">
        <f>IF(PaymentSchedule4[[#This Row],[PMT NO]]&lt;&gt;"",PaymentSchedule4[[#This Row],[TOTAL PAYMENT]]-PaymentSchedule4[[#This Row],[INTEREST]],"")</f>
        <v>279.77281305200648</v>
      </c>
      <c r="I109" s="32">
        <f>IF(PaymentSchedule4[[#This Row],[PMT NO]]&lt;&gt;"",PaymentSchedule4[[#This Row],[BEGINNING BALANCE]]*(InterestRate/PaymentsPerYear),"")</f>
        <v>480.25515168681449</v>
      </c>
      <c r="J10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127788.26763676519</v>
      </c>
      <c r="K109" s="32">
        <f>IF(PaymentSchedule4[[#This Row],[PMT NO]]&lt;&gt;"",SUM(INDEX(PaymentSchedule4[INTEREST],1,1):PaymentSchedule4[[#This Row],[INTEREST]]),"")</f>
        <v>49230.896322214277</v>
      </c>
    </row>
    <row r="110" spans="2:11" x14ac:dyDescent="0.3">
      <c r="B110" s="30">
        <f>IF(LoanIsGood,IF(ROW()-ROW(PaymentSchedule4[[#Headers],[PMT NO]])&gt;ScheduledNumberOfPayments,"",ROW()-ROW(PaymentSchedule4[[#Headers],[PMT NO]])),"")</f>
        <v>95</v>
      </c>
      <c r="C110" s="31">
        <f>IF(PaymentSchedule4[[#This Row],[PMT NO]]&lt;&gt;"",EOMONTH(LoanStartDate,ROW(PaymentSchedule4[[#This Row],[PMT NO]])-ROW(PaymentSchedule4[[#Headers],[PMT NO]])-2)+DAY(LoanStartDate),"")</f>
        <v>46235</v>
      </c>
      <c r="D110" s="32">
        <f>IF(PaymentSchedule4[[#This Row],[PMT NO]]&lt;&gt;"",IF(ROW()-ROW(PaymentSchedule4[[#Headers],[BEGINNING BALANCE]])=1,LoanAmount,INDEX(PaymentSchedule4[ENDING BALANCE],ROW()-ROW(PaymentSchedule4[[#Headers],[BEGINNING BALANCE]])-1)),"")</f>
        <v>127788.26763676519</v>
      </c>
      <c r="E110" s="32">
        <f>IF(PaymentSchedule4[[#This Row],[PMT NO]]&lt;&gt;"",ScheduledPayment,"")</f>
        <v>760.02796473882097</v>
      </c>
      <c r="F11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1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10" s="32">
        <f>IF(PaymentSchedule4[[#This Row],[PMT NO]]&lt;&gt;"",PaymentSchedule4[[#This Row],[TOTAL PAYMENT]]-PaymentSchedule4[[#This Row],[INTEREST]],"")</f>
        <v>280.82196110095151</v>
      </c>
      <c r="I110" s="32">
        <f>IF(PaymentSchedule4[[#This Row],[PMT NO]]&lt;&gt;"",PaymentSchedule4[[#This Row],[BEGINNING BALANCE]]*(InterestRate/PaymentsPerYear),"")</f>
        <v>479.20600363786946</v>
      </c>
      <c r="J11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127507.44567566423</v>
      </c>
      <c r="K110" s="32">
        <f>IF(PaymentSchedule4[[#This Row],[PMT NO]]&lt;&gt;"",SUM(INDEX(PaymentSchedule4[INTEREST],1,1):PaymentSchedule4[[#This Row],[INTEREST]]),"")</f>
        <v>49710.102325852145</v>
      </c>
    </row>
    <row r="111" spans="2:11" x14ac:dyDescent="0.3">
      <c r="B111" s="30">
        <f>IF(LoanIsGood,IF(ROW()-ROW(PaymentSchedule4[[#Headers],[PMT NO]])&gt;ScheduledNumberOfPayments,"",ROW()-ROW(PaymentSchedule4[[#Headers],[PMT NO]])),"")</f>
        <v>96</v>
      </c>
      <c r="C111" s="31">
        <f>IF(PaymentSchedule4[[#This Row],[PMT NO]]&lt;&gt;"",EOMONTH(LoanStartDate,ROW(PaymentSchedule4[[#This Row],[PMT NO]])-ROW(PaymentSchedule4[[#Headers],[PMT NO]])-2)+DAY(LoanStartDate),"")</f>
        <v>46266</v>
      </c>
      <c r="D111" s="32">
        <f>IF(PaymentSchedule4[[#This Row],[PMT NO]]&lt;&gt;"",IF(ROW()-ROW(PaymentSchedule4[[#Headers],[BEGINNING BALANCE]])=1,LoanAmount,INDEX(PaymentSchedule4[ENDING BALANCE],ROW()-ROW(PaymentSchedule4[[#Headers],[BEGINNING BALANCE]])-1)),"")</f>
        <v>127507.44567566423</v>
      </c>
      <c r="E111" s="32">
        <f>IF(PaymentSchedule4[[#This Row],[PMT NO]]&lt;&gt;"",ScheduledPayment,"")</f>
        <v>760.02796473882097</v>
      </c>
      <c r="F11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1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11" s="32">
        <f>IF(PaymentSchedule4[[#This Row],[PMT NO]]&lt;&gt;"",PaymentSchedule4[[#This Row],[TOTAL PAYMENT]]-PaymentSchedule4[[#This Row],[INTEREST]],"")</f>
        <v>281.87504345508012</v>
      </c>
      <c r="I111" s="32">
        <f>IF(PaymentSchedule4[[#This Row],[PMT NO]]&lt;&gt;"",PaymentSchedule4[[#This Row],[BEGINNING BALANCE]]*(InterestRate/PaymentsPerYear),"")</f>
        <v>478.15292128374085</v>
      </c>
      <c r="J11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127225.57063220916</v>
      </c>
      <c r="K111" s="32">
        <f>IF(PaymentSchedule4[[#This Row],[PMT NO]]&lt;&gt;"",SUM(INDEX(PaymentSchedule4[INTEREST],1,1):PaymentSchedule4[[#This Row],[INTEREST]]),"")</f>
        <v>50188.255247135887</v>
      </c>
    </row>
    <row r="112" spans="2:11" x14ac:dyDescent="0.3">
      <c r="B112" s="30">
        <f>IF(LoanIsGood,IF(ROW()-ROW(PaymentSchedule4[[#Headers],[PMT NO]])&gt;ScheduledNumberOfPayments,"",ROW()-ROW(PaymentSchedule4[[#Headers],[PMT NO]])),"")</f>
        <v>97</v>
      </c>
      <c r="C112" s="31">
        <f>IF(PaymentSchedule4[[#This Row],[PMT NO]]&lt;&gt;"",EOMONTH(LoanStartDate,ROW(PaymentSchedule4[[#This Row],[PMT NO]])-ROW(PaymentSchedule4[[#Headers],[PMT NO]])-2)+DAY(LoanStartDate),"")</f>
        <v>46296</v>
      </c>
      <c r="D112" s="32">
        <f>IF(PaymentSchedule4[[#This Row],[PMT NO]]&lt;&gt;"",IF(ROW()-ROW(PaymentSchedule4[[#Headers],[BEGINNING BALANCE]])=1,LoanAmount,INDEX(PaymentSchedule4[ENDING BALANCE],ROW()-ROW(PaymentSchedule4[[#Headers],[BEGINNING BALANCE]])-1)),"")</f>
        <v>127225.57063220916</v>
      </c>
      <c r="E112" s="32">
        <f>IF(PaymentSchedule4[[#This Row],[PMT NO]]&lt;&gt;"",ScheduledPayment,"")</f>
        <v>760.02796473882097</v>
      </c>
      <c r="F11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1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12" s="32">
        <f>IF(PaymentSchedule4[[#This Row],[PMT NO]]&lt;&gt;"",PaymentSchedule4[[#This Row],[TOTAL PAYMENT]]-PaymentSchedule4[[#This Row],[INTEREST]],"")</f>
        <v>282.93207486803664</v>
      </c>
      <c r="I112" s="32">
        <f>IF(PaymentSchedule4[[#This Row],[PMT NO]]&lt;&gt;"",PaymentSchedule4[[#This Row],[BEGINNING BALANCE]]*(InterestRate/PaymentsPerYear),"")</f>
        <v>477.09588987078433</v>
      </c>
      <c r="J11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126942.63855734112</v>
      </c>
      <c r="K112" s="32">
        <f>IF(PaymentSchedule4[[#This Row],[PMT NO]]&lt;&gt;"",SUM(INDEX(PaymentSchedule4[INTEREST],1,1):PaymentSchedule4[[#This Row],[INTEREST]]),"")</f>
        <v>50665.35113700667</v>
      </c>
    </row>
    <row r="113" spans="2:11" x14ac:dyDescent="0.3">
      <c r="B113" s="30">
        <f>IF(LoanIsGood,IF(ROW()-ROW(PaymentSchedule4[[#Headers],[PMT NO]])&gt;ScheduledNumberOfPayments,"",ROW()-ROW(PaymentSchedule4[[#Headers],[PMT NO]])),"")</f>
        <v>98</v>
      </c>
      <c r="C113" s="31">
        <f>IF(PaymentSchedule4[[#This Row],[PMT NO]]&lt;&gt;"",EOMONTH(LoanStartDate,ROW(PaymentSchedule4[[#This Row],[PMT NO]])-ROW(PaymentSchedule4[[#Headers],[PMT NO]])-2)+DAY(LoanStartDate),"")</f>
        <v>46327</v>
      </c>
      <c r="D113" s="32">
        <f>IF(PaymentSchedule4[[#This Row],[PMT NO]]&lt;&gt;"",IF(ROW()-ROW(PaymentSchedule4[[#Headers],[BEGINNING BALANCE]])=1,LoanAmount,INDEX(PaymentSchedule4[ENDING BALANCE],ROW()-ROW(PaymentSchedule4[[#Headers],[BEGINNING BALANCE]])-1)),"")</f>
        <v>126942.63855734112</v>
      </c>
      <c r="E113" s="32">
        <f>IF(PaymentSchedule4[[#This Row],[PMT NO]]&lt;&gt;"",ScheduledPayment,"")</f>
        <v>760.02796473882097</v>
      </c>
      <c r="F11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1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13" s="32">
        <f>IF(PaymentSchedule4[[#This Row],[PMT NO]]&lt;&gt;"",PaymentSchedule4[[#This Row],[TOTAL PAYMENT]]-PaymentSchedule4[[#This Row],[INTEREST]],"")</f>
        <v>283.99307014879179</v>
      </c>
      <c r="I113" s="32">
        <f>IF(PaymentSchedule4[[#This Row],[PMT NO]]&lt;&gt;"",PaymentSchedule4[[#This Row],[BEGINNING BALANCE]]*(InterestRate/PaymentsPerYear),"")</f>
        <v>476.03489459002918</v>
      </c>
      <c r="J11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126658.64548719233</v>
      </c>
      <c r="K113" s="32">
        <f>IF(PaymentSchedule4[[#This Row],[PMT NO]]&lt;&gt;"",SUM(INDEX(PaymentSchedule4[INTEREST],1,1):PaymentSchedule4[[#This Row],[INTEREST]]),"")</f>
        <v>51141.386031596696</v>
      </c>
    </row>
    <row r="114" spans="2:11" x14ac:dyDescent="0.3">
      <c r="B114" s="30">
        <f>IF(LoanIsGood,IF(ROW()-ROW(PaymentSchedule4[[#Headers],[PMT NO]])&gt;ScheduledNumberOfPayments,"",ROW()-ROW(PaymentSchedule4[[#Headers],[PMT NO]])),"")</f>
        <v>99</v>
      </c>
      <c r="C114" s="31">
        <f>IF(PaymentSchedule4[[#This Row],[PMT NO]]&lt;&gt;"",EOMONTH(LoanStartDate,ROW(PaymentSchedule4[[#This Row],[PMT NO]])-ROW(PaymentSchedule4[[#Headers],[PMT NO]])-2)+DAY(LoanStartDate),"")</f>
        <v>46357</v>
      </c>
      <c r="D114" s="32">
        <f>IF(PaymentSchedule4[[#This Row],[PMT NO]]&lt;&gt;"",IF(ROW()-ROW(PaymentSchedule4[[#Headers],[BEGINNING BALANCE]])=1,LoanAmount,INDEX(PaymentSchedule4[ENDING BALANCE],ROW()-ROW(PaymentSchedule4[[#Headers],[BEGINNING BALANCE]])-1)),"")</f>
        <v>126658.64548719233</v>
      </c>
      <c r="E114" s="32">
        <f>IF(PaymentSchedule4[[#This Row],[PMT NO]]&lt;&gt;"",ScheduledPayment,"")</f>
        <v>760.02796473882097</v>
      </c>
      <c r="F11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1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14" s="32">
        <f>IF(PaymentSchedule4[[#This Row],[PMT NO]]&lt;&gt;"",PaymentSchedule4[[#This Row],[TOTAL PAYMENT]]-PaymentSchedule4[[#This Row],[INTEREST]],"")</f>
        <v>285.05804416184975</v>
      </c>
      <c r="I114" s="32">
        <f>IF(PaymentSchedule4[[#This Row],[PMT NO]]&lt;&gt;"",PaymentSchedule4[[#This Row],[BEGINNING BALANCE]]*(InterestRate/PaymentsPerYear),"")</f>
        <v>474.96992057697122</v>
      </c>
      <c r="J11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126373.58744303048</v>
      </c>
      <c r="K114" s="32">
        <f>IF(PaymentSchedule4[[#This Row],[PMT NO]]&lt;&gt;"",SUM(INDEX(PaymentSchedule4[INTEREST],1,1):PaymentSchedule4[[#This Row],[INTEREST]]),"")</f>
        <v>51616.355952173668</v>
      </c>
    </row>
    <row r="115" spans="2:11" x14ac:dyDescent="0.3">
      <c r="B115" s="30">
        <f>IF(LoanIsGood,IF(ROW()-ROW(PaymentSchedule4[[#Headers],[PMT NO]])&gt;ScheduledNumberOfPayments,"",ROW()-ROW(PaymentSchedule4[[#Headers],[PMT NO]])),"")</f>
        <v>100</v>
      </c>
      <c r="C115" s="31">
        <f>IF(PaymentSchedule4[[#This Row],[PMT NO]]&lt;&gt;"",EOMONTH(LoanStartDate,ROW(PaymentSchedule4[[#This Row],[PMT NO]])-ROW(PaymentSchedule4[[#Headers],[PMT NO]])-2)+DAY(LoanStartDate),"")</f>
        <v>46388</v>
      </c>
      <c r="D115" s="32">
        <f>IF(PaymentSchedule4[[#This Row],[PMT NO]]&lt;&gt;"",IF(ROW()-ROW(PaymentSchedule4[[#Headers],[BEGINNING BALANCE]])=1,LoanAmount,INDEX(PaymentSchedule4[ENDING BALANCE],ROW()-ROW(PaymentSchedule4[[#Headers],[BEGINNING BALANCE]])-1)),"")</f>
        <v>126373.58744303048</v>
      </c>
      <c r="E115" s="32">
        <f>IF(PaymentSchedule4[[#This Row],[PMT NO]]&lt;&gt;"",ScheduledPayment,"")</f>
        <v>760.02796473882097</v>
      </c>
      <c r="F11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1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15" s="32">
        <f>IF(PaymentSchedule4[[#This Row],[PMT NO]]&lt;&gt;"",PaymentSchedule4[[#This Row],[TOTAL PAYMENT]]-PaymentSchedule4[[#This Row],[INTEREST]],"")</f>
        <v>286.12701182745667</v>
      </c>
      <c r="I115" s="32">
        <f>IF(PaymentSchedule4[[#This Row],[PMT NO]]&lt;&gt;"",PaymentSchedule4[[#This Row],[BEGINNING BALANCE]]*(InterestRate/PaymentsPerYear),"")</f>
        <v>473.9009529113643</v>
      </c>
      <c r="J11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126087.46043120303</v>
      </c>
      <c r="K115" s="32">
        <f>IF(PaymentSchedule4[[#This Row],[PMT NO]]&lt;&gt;"",SUM(INDEX(PaymentSchedule4[INTEREST],1,1):PaymentSchedule4[[#This Row],[INTEREST]]),"")</f>
        <v>52090.256905085029</v>
      </c>
    </row>
    <row r="116" spans="2:11" x14ac:dyDescent="0.3">
      <c r="B116" s="30">
        <f>IF(LoanIsGood,IF(ROW()-ROW(PaymentSchedule4[[#Headers],[PMT NO]])&gt;ScheduledNumberOfPayments,"",ROW()-ROW(PaymentSchedule4[[#Headers],[PMT NO]])),"")</f>
        <v>101</v>
      </c>
      <c r="C116" s="31">
        <f>IF(PaymentSchedule4[[#This Row],[PMT NO]]&lt;&gt;"",EOMONTH(LoanStartDate,ROW(PaymentSchedule4[[#This Row],[PMT NO]])-ROW(PaymentSchedule4[[#Headers],[PMT NO]])-2)+DAY(LoanStartDate),"")</f>
        <v>46419</v>
      </c>
      <c r="D116" s="32">
        <f>IF(PaymentSchedule4[[#This Row],[PMT NO]]&lt;&gt;"",IF(ROW()-ROW(PaymentSchedule4[[#Headers],[BEGINNING BALANCE]])=1,LoanAmount,INDEX(PaymentSchedule4[ENDING BALANCE],ROW()-ROW(PaymentSchedule4[[#Headers],[BEGINNING BALANCE]])-1)),"")</f>
        <v>126087.46043120303</v>
      </c>
      <c r="E116" s="32">
        <f>IF(PaymentSchedule4[[#This Row],[PMT NO]]&lt;&gt;"",ScheduledPayment,"")</f>
        <v>760.02796473882097</v>
      </c>
      <c r="F11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1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16" s="32">
        <f>IF(PaymentSchedule4[[#This Row],[PMT NO]]&lt;&gt;"",PaymentSchedule4[[#This Row],[TOTAL PAYMENT]]-PaymentSchedule4[[#This Row],[INTEREST]],"")</f>
        <v>287.19998812180961</v>
      </c>
      <c r="I116" s="32">
        <f>IF(PaymentSchedule4[[#This Row],[PMT NO]]&lt;&gt;"",PaymentSchedule4[[#This Row],[BEGINNING BALANCE]]*(InterestRate/PaymentsPerYear),"")</f>
        <v>472.82797661701136</v>
      </c>
      <c r="J11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125800.26044308122</v>
      </c>
      <c r="K116" s="32">
        <f>IF(PaymentSchedule4[[#This Row],[PMT NO]]&lt;&gt;"",SUM(INDEX(PaymentSchedule4[INTEREST],1,1):PaymentSchedule4[[#This Row],[INTEREST]]),"")</f>
        <v>52563.084881702038</v>
      </c>
    </row>
    <row r="117" spans="2:11" x14ac:dyDescent="0.3">
      <c r="B117" s="30">
        <f>IF(LoanIsGood,IF(ROW()-ROW(PaymentSchedule4[[#Headers],[PMT NO]])&gt;ScheduledNumberOfPayments,"",ROW()-ROW(PaymentSchedule4[[#Headers],[PMT NO]])),"")</f>
        <v>102</v>
      </c>
      <c r="C117" s="31">
        <f>IF(PaymentSchedule4[[#This Row],[PMT NO]]&lt;&gt;"",EOMONTH(LoanStartDate,ROW(PaymentSchedule4[[#This Row],[PMT NO]])-ROW(PaymentSchedule4[[#Headers],[PMT NO]])-2)+DAY(LoanStartDate),"")</f>
        <v>46447</v>
      </c>
      <c r="D117" s="32">
        <f>IF(PaymentSchedule4[[#This Row],[PMT NO]]&lt;&gt;"",IF(ROW()-ROW(PaymentSchedule4[[#Headers],[BEGINNING BALANCE]])=1,LoanAmount,INDEX(PaymentSchedule4[ENDING BALANCE],ROW()-ROW(PaymentSchedule4[[#Headers],[BEGINNING BALANCE]])-1)),"")</f>
        <v>125800.26044308122</v>
      </c>
      <c r="E117" s="32">
        <f>IF(PaymentSchedule4[[#This Row],[PMT NO]]&lt;&gt;"",ScheduledPayment,"")</f>
        <v>760.02796473882097</v>
      </c>
      <c r="F11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1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17" s="32">
        <f>IF(PaymentSchedule4[[#This Row],[PMT NO]]&lt;&gt;"",PaymentSchedule4[[#This Row],[TOTAL PAYMENT]]-PaymentSchedule4[[#This Row],[INTEREST]],"")</f>
        <v>288.27698807726642</v>
      </c>
      <c r="I117" s="32">
        <f>IF(PaymentSchedule4[[#This Row],[PMT NO]]&lt;&gt;"",PaymentSchedule4[[#This Row],[BEGINNING BALANCE]]*(InterestRate/PaymentsPerYear),"")</f>
        <v>471.75097666155455</v>
      </c>
      <c r="J11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125511.98345500395</v>
      </c>
      <c r="K117" s="32">
        <f>IF(PaymentSchedule4[[#This Row],[PMT NO]]&lt;&gt;"",SUM(INDEX(PaymentSchedule4[INTEREST],1,1):PaymentSchedule4[[#This Row],[INTEREST]]),"")</f>
        <v>53034.835858363593</v>
      </c>
    </row>
    <row r="118" spans="2:11" x14ac:dyDescent="0.3">
      <c r="B118" s="30">
        <f>IF(LoanIsGood,IF(ROW()-ROW(PaymentSchedule4[[#Headers],[PMT NO]])&gt;ScheduledNumberOfPayments,"",ROW()-ROW(PaymentSchedule4[[#Headers],[PMT NO]])),"")</f>
        <v>103</v>
      </c>
      <c r="C118" s="31">
        <f>IF(PaymentSchedule4[[#This Row],[PMT NO]]&lt;&gt;"",EOMONTH(LoanStartDate,ROW(PaymentSchedule4[[#This Row],[PMT NO]])-ROW(PaymentSchedule4[[#Headers],[PMT NO]])-2)+DAY(LoanStartDate),"")</f>
        <v>46478</v>
      </c>
      <c r="D118" s="32">
        <f>IF(PaymentSchedule4[[#This Row],[PMT NO]]&lt;&gt;"",IF(ROW()-ROW(PaymentSchedule4[[#Headers],[BEGINNING BALANCE]])=1,LoanAmount,INDEX(PaymentSchedule4[ENDING BALANCE],ROW()-ROW(PaymentSchedule4[[#Headers],[BEGINNING BALANCE]])-1)),"")</f>
        <v>125511.98345500395</v>
      </c>
      <c r="E118" s="32">
        <f>IF(PaymentSchedule4[[#This Row],[PMT NO]]&lt;&gt;"",ScheduledPayment,"")</f>
        <v>760.02796473882097</v>
      </c>
      <c r="F11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1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18" s="32">
        <f>IF(PaymentSchedule4[[#This Row],[PMT NO]]&lt;&gt;"",PaymentSchedule4[[#This Row],[TOTAL PAYMENT]]-PaymentSchedule4[[#This Row],[INTEREST]],"")</f>
        <v>289.35802678255618</v>
      </c>
      <c r="I118" s="32">
        <f>IF(PaymentSchedule4[[#This Row],[PMT NO]]&lt;&gt;"",PaymentSchedule4[[#This Row],[BEGINNING BALANCE]]*(InterestRate/PaymentsPerYear),"")</f>
        <v>470.66993795626479</v>
      </c>
      <c r="J11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125222.62542822139</v>
      </c>
      <c r="K118" s="32">
        <f>IF(PaymentSchedule4[[#This Row],[PMT NO]]&lt;&gt;"",SUM(INDEX(PaymentSchedule4[INTEREST],1,1):PaymentSchedule4[[#This Row],[INTEREST]]),"")</f>
        <v>53505.505796319856</v>
      </c>
    </row>
    <row r="119" spans="2:11" x14ac:dyDescent="0.3">
      <c r="B119" s="30">
        <f>IF(LoanIsGood,IF(ROW()-ROW(PaymentSchedule4[[#Headers],[PMT NO]])&gt;ScheduledNumberOfPayments,"",ROW()-ROW(PaymentSchedule4[[#Headers],[PMT NO]])),"")</f>
        <v>104</v>
      </c>
      <c r="C119" s="31">
        <f>IF(PaymentSchedule4[[#This Row],[PMT NO]]&lt;&gt;"",EOMONTH(LoanStartDate,ROW(PaymentSchedule4[[#This Row],[PMT NO]])-ROW(PaymentSchedule4[[#Headers],[PMT NO]])-2)+DAY(LoanStartDate),"")</f>
        <v>46508</v>
      </c>
      <c r="D119" s="32">
        <f>IF(PaymentSchedule4[[#This Row],[PMT NO]]&lt;&gt;"",IF(ROW()-ROW(PaymentSchedule4[[#Headers],[BEGINNING BALANCE]])=1,LoanAmount,INDEX(PaymentSchedule4[ENDING BALANCE],ROW()-ROW(PaymentSchedule4[[#Headers],[BEGINNING BALANCE]])-1)),"")</f>
        <v>125222.62542822139</v>
      </c>
      <c r="E119" s="32">
        <f>IF(PaymentSchedule4[[#This Row],[PMT NO]]&lt;&gt;"",ScheduledPayment,"")</f>
        <v>760.02796473882097</v>
      </c>
      <c r="F11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1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19" s="32">
        <f>IF(PaymentSchedule4[[#This Row],[PMT NO]]&lt;&gt;"",PaymentSchedule4[[#This Row],[TOTAL PAYMENT]]-PaymentSchedule4[[#This Row],[INTEREST]],"")</f>
        <v>290.44311938299074</v>
      </c>
      <c r="I119" s="32">
        <f>IF(PaymentSchedule4[[#This Row],[PMT NO]]&lt;&gt;"",PaymentSchedule4[[#This Row],[BEGINNING BALANCE]]*(InterestRate/PaymentsPerYear),"")</f>
        <v>469.58484535583023</v>
      </c>
      <c r="J11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124932.1823088384</v>
      </c>
      <c r="K119" s="32">
        <f>IF(PaymentSchedule4[[#This Row],[PMT NO]]&lt;&gt;"",SUM(INDEX(PaymentSchedule4[INTEREST],1,1):PaymentSchedule4[[#This Row],[INTEREST]]),"")</f>
        <v>53975.090641675684</v>
      </c>
    </row>
    <row r="120" spans="2:11" x14ac:dyDescent="0.3">
      <c r="B120" s="30">
        <f>IF(LoanIsGood,IF(ROW()-ROW(PaymentSchedule4[[#Headers],[PMT NO]])&gt;ScheduledNumberOfPayments,"",ROW()-ROW(PaymentSchedule4[[#Headers],[PMT NO]])),"")</f>
        <v>105</v>
      </c>
      <c r="C120" s="31">
        <f>IF(PaymentSchedule4[[#This Row],[PMT NO]]&lt;&gt;"",EOMONTH(LoanStartDate,ROW(PaymentSchedule4[[#This Row],[PMT NO]])-ROW(PaymentSchedule4[[#Headers],[PMT NO]])-2)+DAY(LoanStartDate),"")</f>
        <v>46539</v>
      </c>
      <c r="D120" s="32">
        <f>IF(PaymentSchedule4[[#This Row],[PMT NO]]&lt;&gt;"",IF(ROW()-ROW(PaymentSchedule4[[#Headers],[BEGINNING BALANCE]])=1,LoanAmount,INDEX(PaymentSchedule4[ENDING BALANCE],ROW()-ROW(PaymentSchedule4[[#Headers],[BEGINNING BALANCE]])-1)),"")</f>
        <v>124932.1823088384</v>
      </c>
      <c r="E120" s="32">
        <f>IF(PaymentSchedule4[[#This Row],[PMT NO]]&lt;&gt;"",ScheduledPayment,"")</f>
        <v>760.02796473882097</v>
      </c>
      <c r="F12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2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20" s="32">
        <f>IF(PaymentSchedule4[[#This Row],[PMT NO]]&lt;&gt;"",PaymentSchedule4[[#This Row],[TOTAL PAYMENT]]-PaymentSchedule4[[#This Row],[INTEREST]],"")</f>
        <v>291.53228108067702</v>
      </c>
      <c r="I120" s="32">
        <f>IF(PaymentSchedule4[[#This Row],[PMT NO]]&lt;&gt;"",PaymentSchedule4[[#This Row],[BEGINNING BALANCE]]*(InterestRate/PaymentsPerYear),"")</f>
        <v>468.49568365814395</v>
      </c>
      <c r="J12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124640.65002775771</v>
      </c>
      <c r="K120" s="32">
        <f>IF(PaymentSchedule4[[#This Row],[PMT NO]]&lt;&gt;"",SUM(INDEX(PaymentSchedule4[INTEREST],1,1):PaymentSchedule4[[#This Row],[INTEREST]]),"")</f>
        <v>54443.586325333825</v>
      </c>
    </row>
    <row r="121" spans="2:11" x14ac:dyDescent="0.3">
      <c r="B121" s="30">
        <f>IF(LoanIsGood,IF(ROW()-ROW(PaymentSchedule4[[#Headers],[PMT NO]])&gt;ScheduledNumberOfPayments,"",ROW()-ROW(PaymentSchedule4[[#Headers],[PMT NO]])),"")</f>
        <v>106</v>
      </c>
      <c r="C121" s="31">
        <f>IF(PaymentSchedule4[[#This Row],[PMT NO]]&lt;&gt;"",EOMONTH(LoanStartDate,ROW(PaymentSchedule4[[#This Row],[PMT NO]])-ROW(PaymentSchedule4[[#Headers],[PMT NO]])-2)+DAY(LoanStartDate),"")</f>
        <v>46569</v>
      </c>
      <c r="D121" s="32">
        <f>IF(PaymentSchedule4[[#This Row],[PMT NO]]&lt;&gt;"",IF(ROW()-ROW(PaymentSchedule4[[#Headers],[BEGINNING BALANCE]])=1,LoanAmount,INDEX(PaymentSchedule4[ENDING BALANCE],ROW()-ROW(PaymentSchedule4[[#Headers],[BEGINNING BALANCE]])-1)),"")</f>
        <v>124640.65002775771</v>
      </c>
      <c r="E121" s="32">
        <f>IF(PaymentSchedule4[[#This Row],[PMT NO]]&lt;&gt;"",ScheduledPayment,"")</f>
        <v>760.02796473882097</v>
      </c>
      <c r="F12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2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21" s="32">
        <f>IF(PaymentSchedule4[[#This Row],[PMT NO]]&lt;&gt;"",PaymentSchedule4[[#This Row],[TOTAL PAYMENT]]-PaymentSchedule4[[#This Row],[INTEREST]],"")</f>
        <v>292.62552713472957</v>
      </c>
      <c r="I121" s="32">
        <f>IF(PaymentSchedule4[[#This Row],[PMT NO]]&lt;&gt;"",PaymentSchedule4[[#This Row],[BEGINNING BALANCE]]*(InterestRate/PaymentsPerYear),"")</f>
        <v>467.4024376040914</v>
      </c>
      <c r="J12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124348.02450062298</v>
      </c>
      <c r="K121" s="32">
        <f>IF(PaymentSchedule4[[#This Row],[PMT NO]]&lt;&gt;"",SUM(INDEX(PaymentSchedule4[INTEREST],1,1):PaymentSchedule4[[#This Row],[INTEREST]]),"")</f>
        <v>54910.988762937915</v>
      </c>
    </row>
    <row r="122" spans="2:11" x14ac:dyDescent="0.3">
      <c r="B122" s="30">
        <f>IF(LoanIsGood,IF(ROW()-ROW(PaymentSchedule4[[#Headers],[PMT NO]])&gt;ScheduledNumberOfPayments,"",ROW()-ROW(PaymentSchedule4[[#Headers],[PMT NO]])),"")</f>
        <v>107</v>
      </c>
      <c r="C122" s="31">
        <f>IF(PaymentSchedule4[[#This Row],[PMT NO]]&lt;&gt;"",EOMONTH(LoanStartDate,ROW(PaymentSchedule4[[#This Row],[PMT NO]])-ROW(PaymentSchedule4[[#Headers],[PMT NO]])-2)+DAY(LoanStartDate),"")</f>
        <v>46600</v>
      </c>
      <c r="D122" s="32">
        <f>IF(PaymentSchedule4[[#This Row],[PMT NO]]&lt;&gt;"",IF(ROW()-ROW(PaymentSchedule4[[#Headers],[BEGINNING BALANCE]])=1,LoanAmount,INDEX(PaymentSchedule4[ENDING BALANCE],ROW()-ROW(PaymentSchedule4[[#Headers],[BEGINNING BALANCE]])-1)),"")</f>
        <v>124348.02450062298</v>
      </c>
      <c r="E122" s="32">
        <f>IF(PaymentSchedule4[[#This Row],[PMT NO]]&lt;&gt;"",ScheduledPayment,"")</f>
        <v>760.02796473882097</v>
      </c>
      <c r="F12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2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22" s="32">
        <f>IF(PaymentSchedule4[[#This Row],[PMT NO]]&lt;&gt;"",PaymentSchedule4[[#This Row],[TOTAL PAYMENT]]-PaymentSchedule4[[#This Row],[INTEREST]],"")</f>
        <v>293.7228728614848</v>
      </c>
      <c r="I122" s="32">
        <f>IF(PaymentSchedule4[[#This Row],[PMT NO]]&lt;&gt;"",PaymentSchedule4[[#This Row],[BEGINNING BALANCE]]*(InterestRate/PaymentsPerYear),"")</f>
        <v>466.30509187733617</v>
      </c>
      <c r="J12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124054.3016277615</v>
      </c>
      <c r="K122" s="32">
        <f>IF(PaymentSchedule4[[#This Row],[PMT NO]]&lt;&gt;"",SUM(INDEX(PaymentSchedule4[INTEREST],1,1):PaymentSchedule4[[#This Row],[INTEREST]]),"")</f>
        <v>55377.293854815252</v>
      </c>
    </row>
    <row r="123" spans="2:11" x14ac:dyDescent="0.3">
      <c r="B123" s="30">
        <f>IF(LoanIsGood,IF(ROW()-ROW(PaymentSchedule4[[#Headers],[PMT NO]])&gt;ScheduledNumberOfPayments,"",ROW()-ROW(PaymentSchedule4[[#Headers],[PMT NO]])),"")</f>
        <v>108</v>
      </c>
      <c r="C123" s="31">
        <f>IF(PaymentSchedule4[[#This Row],[PMT NO]]&lt;&gt;"",EOMONTH(LoanStartDate,ROW(PaymentSchedule4[[#This Row],[PMT NO]])-ROW(PaymentSchedule4[[#Headers],[PMT NO]])-2)+DAY(LoanStartDate),"")</f>
        <v>46631</v>
      </c>
      <c r="D123" s="32">
        <f>IF(PaymentSchedule4[[#This Row],[PMT NO]]&lt;&gt;"",IF(ROW()-ROW(PaymentSchedule4[[#Headers],[BEGINNING BALANCE]])=1,LoanAmount,INDEX(PaymentSchedule4[ENDING BALANCE],ROW()-ROW(PaymentSchedule4[[#Headers],[BEGINNING BALANCE]])-1)),"")</f>
        <v>124054.3016277615</v>
      </c>
      <c r="E123" s="32">
        <f>IF(PaymentSchedule4[[#This Row],[PMT NO]]&lt;&gt;"",ScheduledPayment,"")</f>
        <v>760.02796473882097</v>
      </c>
      <c r="F12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2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23" s="32">
        <f>IF(PaymentSchedule4[[#This Row],[PMT NO]]&lt;&gt;"",PaymentSchedule4[[#This Row],[TOTAL PAYMENT]]-PaymentSchedule4[[#This Row],[INTEREST]],"")</f>
        <v>294.8243336347154</v>
      </c>
      <c r="I123" s="32">
        <f>IF(PaymentSchedule4[[#This Row],[PMT NO]]&lt;&gt;"",PaymentSchedule4[[#This Row],[BEGINNING BALANCE]]*(InterestRate/PaymentsPerYear),"")</f>
        <v>465.20363110410557</v>
      </c>
      <c r="J12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123759.47729412677</v>
      </c>
      <c r="K123" s="32">
        <f>IF(PaymentSchedule4[[#This Row],[PMT NO]]&lt;&gt;"",SUM(INDEX(PaymentSchedule4[INTEREST],1,1):PaymentSchedule4[[#This Row],[INTEREST]]),"")</f>
        <v>55842.497485919361</v>
      </c>
    </row>
    <row r="124" spans="2:11" x14ac:dyDescent="0.3">
      <c r="B124" s="30">
        <f>IF(LoanIsGood,IF(ROW()-ROW(PaymentSchedule4[[#Headers],[PMT NO]])&gt;ScheduledNumberOfPayments,"",ROW()-ROW(PaymentSchedule4[[#Headers],[PMT NO]])),"")</f>
        <v>109</v>
      </c>
      <c r="C124" s="31">
        <f>IF(PaymentSchedule4[[#This Row],[PMT NO]]&lt;&gt;"",EOMONTH(LoanStartDate,ROW(PaymentSchedule4[[#This Row],[PMT NO]])-ROW(PaymentSchedule4[[#Headers],[PMT NO]])-2)+DAY(LoanStartDate),"")</f>
        <v>46661</v>
      </c>
      <c r="D124" s="32">
        <f>IF(PaymentSchedule4[[#This Row],[PMT NO]]&lt;&gt;"",IF(ROW()-ROW(PaymentSchedule4[[#Headers],[BEGINNING BALANCE]])=1,LoanAmount,INDEX(PaymentSchedule4[ENDING BALANCE],ROW()-ROW(PaymentSchedule4[[#Headers],[BEGINNING BALANCE]])-1)),"")</f>
        <v>123759.47729412677</v>
      </c>
      <c r="E124" s="32">
        <f>IF(PaymentSchedule4[[#This Row],[PMT NO]]&lt;&gt;"",ScheduledPayment,"")</f>
        <v>760.02796473882097</v>
      </c>
      <c r="F12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2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24" s="32">
        <f>IF(PaymentSchedule4[[#This Row],[PMT NO]]&lt;&gt;"",PaymentSchedule4[[#This Row],[TOTAL PAYMENT]]-PaymentSchedule4[[#This Row],[INTEREST]],"")</f>
        <v>295.92992488584559</v>
      </c>
      <c r="I124" s="32">
        <f>IF(PaymentSchedule4[[#This Row],[PMT NO]]&lt;&gt;"",PaymentSchedule4[[#This Row],[BEGINNING BALANCE]]*(InterestRate/PaymentsPerYear),"")</f>
        <v>464.09803985297538</v>
      </c>
      <c r="J12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123463.54736924093</v>
      </c>
      <c r="K124" s="32">
        <f>IF(PaymentSchedule4[[#This Row],[PMT NO]]&lt;&gt;"",SUM(INDEX(PaymentSchedule4[INTEREST],1,1):PaymentSchedule4[[#This Row],[INTEREST]]),"")</f>
        <v>56306.595525772333</v>
      </c>
    </row>
    <row r="125" spans="2:11" x14ac:dyDescent="0.3">
      <c r="B125" s="30">
        <f>IF(LoanIsGood,IF(ROW()-ROW(PaymentSchedule4[[#Headers],[PMT NO]])&gt;ScheduledNumberOfPayments,"",ROW()-ROW(PaymentSchedule4[[#Headers],[PMT NO]])),"")</f>
        <v>110</v>
      </c>
      <c r="C125" s="31">
        <f>IF(PaymentSchedule4[[#This Row],[PMT NO]]&lt;&gt;"",EOMONTH(LoanStartDate,ROW(PaymentSchedule4[[#This Row],[PMT NO]])-ROW(PaymentSchedule4[[#Headers],[PMT NO]])-2)+DAY(LoanStartDate),"")</f>
        <v>46692</v>
      </c>
      <c r="D125" s="32">
        <f>IF(PaymentSchedule4[[#This Row],[PMT NO]]&lt;&gt;"",IF(ROW()-ROW(PaymentSchedule4[[#Headers],[BEGINNING BALANCE]])=1,LoanAmount,INDEX(PaymentSchedule4[ENDING BALANCE],ROW()-ROW(PaymentSchedule4[[#Headers],[BEGINNING BALANCE]])-1)),"")</f>
        <v>123463.54736924093</v>
      </c>
      <c r="E125" s="32">
        <f>IF(PaymentSchedule4[[#This Row],[PMT NO]]&lt;&gt;"",ScheduledPayment,"")</f>
        <v>760.02796473882097</v>
      </c>
      <c r="F12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2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25" s="32">
        <f>IF(PaymentSchedule4[[#This Row],[PMT NO]]&lt;&gt;"",PaymentSchedule4[[#This Row],[TOTAL PAYMENT]]-PaymentSchedule4[[#This Row],[INTEREST]],"")</f>
        <v>297.03966210416752</v>
      </c>
      <c r="I125" s="32">
        <f>IF(PaymentSchedule4[[#This Row],[PMT NO]]&lt;&gt;"",PaymentSchedule4[[#This Row],[BEGINNING BALANCE]]*(InterestRate/PaymentsPerYear),"")</f>
        <v>462.98830263465345</v>
      </c>
      <c r="J12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123166.50770713676</v>
      </c>
      <c r="K125" s="32">
        <f>IF(PaymentSchedule4[[#This Row],[PMT NO]]&lt;&gt;"",SUM(INDEX(PaymentSchedule4[INTEREST],1,1):PaymentSchedule4[[#This Row],[INTEREST]]),"")</f>
        <v>56769.583828406983</v>
      </c>
    </row>
    <row r="126" spans="2:11" x14ac:dyDescent="0.3">
      <c r="B126" s="30">
        <f>IF(LoanIsGood,IF(ROW()-ROW(PaymentSchedule4[[#Headers],[PMT NO]])&gt;ScheduledNumberOfPayments,"",ROW()-ROW(PaymentSchedule4[[#Headers],[PMT NO]])),"")</f>
        <v>111</v>
      </c>
      <c r="C126" s="31">
        <f>IF(PaymentSchedule4[[#This Row],[PMT NO]]&lt;&gt;"",EOMONTH(LoanStartDate,ROW(PaymentSchedule4[[#This Row],[PMT NO]])-ROW(PaymentSchedule4[[#Headers],[PMT NO]])-2)+DAY(LoanStartDate),"")</f>
        <v>46722</v>
      </c>
      <c r="D126" s="32">
        <f>IF(PaymentSchedule4[[#This Row],[PMT NO]]&lt;&gt;"",IF(ROW()-ROW(PaymentSchedule4[[#Headers],[BEGINNING BALANCE]])=1,LoanAmount,INDEX(PaymentSchedule4[ENDING BALANCE],ROW()-ROW(PaymentSchedule4[[#Headers],[BEGINNING BALANCE]])-1)),"")</f>
        <v>123166.50770713676</v>
      </c>
      <c r="E126" s="32">
        <f>IF(PaymentSchedule4[[#This Row],[PMT NO]]&lt;&gt;"",ScheduledPayment,"")</f>
        <v>760.02796473882097</v>
      </c>
      <c r="F12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2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26" s="32">
        <f>IF(PaymentSchedule4[[#This Row],[PMT NO]]&lt;&gt;"",PaymentSchedule4[[#This Row],[TOTAL PAYMENT]]-PaymentSchedule4[[#This Row],[INTEREST]],"")</f>
        <v>298.15356083705814</v>
      </c>
      <c r="I126" s="32">
        <f>IF(PaymentSchedule4[[#This Row],[PMT NO]]&lt;&gt;"",PaymentSchedule4[[#This Row],[BEGINNING BALANCE]]*(InterestRate/PaymentsPerYear),"")</f>
        <v>461.87440390176283</v>
      </c>
      <c r="J12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122868.35414629969</v>
      </c>
      <c r="K126" s="32">
        <f>IF(PaymentSchedule4[[#This Row],[PMT NO]]&lt;&gt;"",SUM(INDEX(PaymentSchedule4[INTEREST],1,1):PaymentSchedule4[[#This Row],[INTEREST]]),"")</f>
        <v>57231.458232308745</v>
      </c>
    </row>
    <row r="127" spans="2:11" x14ac:dyDescent="0.3">
      <c r="B127" s="30">
        <f>IF(LoanIsGood,IF(ROW()-ROW(PaymentSchedule4[[#Headers],[PMT NO]])&gt;ScheduledNumberOfPayments,"",ROW()-ROW(PaymentSchedule4[[#Headers],[PMT NO]])),"")</f>
        <v>112</v>
      </c>
      <c r="C127" s="31">
        <f>IF(PaymentSchedule4[[#This Row],[PMT NO]]&lt;&gt;"",EOMONTH(LoanStartDate,ROW(PaymentSchedule4[[#This Row],[PMT NO]])-ROW(PaymentSchedule4[[#Headers],[PMT NO]])-2)+DAY(LoanStartDate),"")</f>
        <v>46753</v>
      </c>
      <c r="D127" s="32">
        <f>IF(PaymentSchedule4[[#This Row],[PMT NO]]&lt;&gt;"",IF(ROW()-ROW(PaymentSchedule4[[#Headers],[BEGINNING BALANCE]])=1,LoanAmount,INDEX(PaymentSchedule4[ENDING BALANCE],ROW()-ROW(PaymentSchedule4[[#Headers],[BEGINNING BALANCE]])-1)),"")</f>
        <v>122868.35414629969</v>
      </c>
      <c r="E127" s="32">
        <f>IF(PaymentSchedule4[[#This Row],[PMT NO]]&lt;&gt;"",ScheduledPayment,"")</f>
        <v>760.02796473882097</v>
      </c>
      <c r="F12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2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27" s="32">
        <f>IF(PaymentSchedule4[[#This Row],[PMT NO]]&lt;&gt;"",PaymentSchedule4[[#This Row],[TOTAL PAYMENT]]-PaymentSchedule4[[#This Row],[INTEREST]],"")</f>
        <v>299.27163669019711</v>
      </c>
      <c r="I127" s="32">
        <f>IF(PaymentSchedule4[[#This Row],[PMT NO]]&lt;&gt;"",PaymentSchedule4[[#This Row],[BEGINNING BALANCE]]*(InterestRate/PaymentsPerYear),"")</f>
        <v>460.75632804862386</v>
      </c>
      <c r="J12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122569.08250960949</v>
      </c>
      <c r="K127" s="32">
        <f>IF(PaymentSchedule4[[#This Row],[PMT NO]]&lt;&gt;"",SUM(INDEX(PaymentSchedule4[INTEREST],1,1):PaymentSchedule4[[#This Row],[INTEREST]]),"")</f>
        <v>57692.214560357366</v>
      </c>
    </row>
    <row r="128" spans="2:11" x14ac:dyDescent="0.3">
      <c r="B128" s="30">
        <f>IF(LoanIsGood,IF(ROW()-ROW(PaymentSchedule4[[#Headers],[PMT NO]])&gt;ScheduledNumberOfPayments,"",ROW()-ROW(PaymentSchedule4[[#Headers],[PMT NO]])),"")</f>
        <v>113</v>
      </c>
      <c r="C128" s="31">
        <f>IF(PaymentSchedule4[[#This Row],[PMT NO]]&lt;&gt;"",EOMONTH(LoanStartDate,ROW(PaymentSchedule4[[#This Row],[PMT NO]])-ROW(PaymentSchedule4[[#Headers],[PMT NO]])-2)+DAY(LoanStartDate),"")</f>
        <v>46784</v>
      </c>
      <c r="D128" s="32">
        <f>IF(PaymentSchedule4[[#This Row],[PMT NO]]&lt;&gt;"",IF(ROW()-ROW(PaymentSchedule4[[#Headers],[BEGINNING BALANCE]])=1,LoanAmount,INDEX(PaymentSchedule4[ENDING BALANCE],ROW()-ROW(PaymentSchedule4[[#Headers],[BEGINNING BALANCE]])-1)),"")</f>
        <v>122569.08250960949</v>
      </c>
      <c r="E128" s="32">
        <f>IF(PaymentSchedule4[[#This Row],[PMT NO]]&lt;&gt;"",ScheduledPayment,"")</f>
        <v>760.02796473882097</v>
      </c>
      <c r="F12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2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28" s="32">
        <f>IF(PaymentSchedule4[[#This Row],[PMT NO]]&lt;&gt;"",PaymentSchedule4[[#This Row],[TOTAL PAYMENT]]-PaymentSchedule4[[#This Row],[INTEREST]],"")</f>
        <v>300.39390532778538</v>
      </c>
      <c r="I128" s="32">
        <f>IF(PaymentSchedule4[[#This Row],[PMT NO]]&lt;&gt;"",PaymentSchedule4[[#This Row],[BEGINNING BALANCE]]*(InterestRate/PaymentsPerYear),"")</f>
        <v>459.63405941103559</v>
      </c>
      <c r="J12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122268.68860428171</v>
      </c>
      <c r="K128" s="32">
        <f>IF(PaymentSchedule4[[#This Row],[PMT NO]]&lt;&gt;"",SUM(INDEX(PaymentSchedule4[INTEREST],1,1):PaymentSchedule4[[#This Row],[INTEREST]]),"")</f>
        <v>58151.848619768403</v>
      </c>
    </row>
    <row r="129" spans="2:11" x14ac:dyDescent="0.3">
      <c r="B129" s="30">
        <f>IF(LoanIsGood,IF(ROW()-ROW(PaymentSchedule4[[#Headers],[PMT NO]])&gt;ScheduledNumberOfPayments,"",ROW()-ROW(PaymentSchedule4[[#Headers],[PMT NO]])),"")</f>
        <v>114</v>
      </c>
      <c r="C129" s="31">
        <f>IF(PaymentSchedule4[[#This Row],[PMT NO]]&lt;&gt;"",EOMONTH(LoanStartDate,ROW(PaymentSchedule4[[#This Row],[PMT NO]])-ROW(PaymentSchedule4[[#Headers],[PMT NO]])-2)+DAY(LoanStartDate),"")</f>
        <v>46813</v>
      </c>
      <c r="D129" s="32">
        <f>IF(PaymentSchedule4[[#This Row],[PMT NO]]&lt;&gt;"",IF(ROW()-ROW(PaymentSchedule4[[#Headers],[BEGINNING BALANCE]])=1,LoanAmount,INDEX(PaymentSchedule4[ENDING BALANCE],ROW()-ROW(PaymentSchedule4[[#Headers],[BEGINNING BALANCE]])-1)),"")</f>
        <v>122268.68860428171</v>
      </c>
      <c r="E129" s="32">
        <f>IF(PaymentSchedule4[[#This Row],[PMT NO]]&lt;&gt;"",ScheduledPayment,"")</f>
        <v>760.02796473882097</v>
      </c>
      <c r="F12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2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29" s="32">
        <f>IF(PaymentSchedule4[[#This Row],[PMT NO]]&lt;&gt;"",PaymentSchedule4[[#This Row],[TOTAL PAYMENT]]-PaymentSchedule4[[#This Row],[INTEREST]],"")</f>
        <v>301.5203824727646</v>
      </c>
      <c r="I129" s="32">
        <f>IF(PaymentSchedule4[[#This Row],[PMT NO]]&lt;&gt;"",PaymentSchedule4[[#This Row],[BEGINNING BALANCE]]*(InterestRate/PaymentsPerYear),"")</f>
        <v>458.50758226605637</v>
      </c>
      <c r="J12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121967.16822180894</v>
      </c>
      <c r="K129" s="32">
        <f>IF(PaymentSchedule4[[#This Row],[PMT NO]]&lt;&gt;"",SUM(INDEX(PaymentSchedule4[INTEREST],1,1):PaymentSchedule4[[#This Row],[INTEREST]]),"")</f>
        <v>58610.356202034462</v>
      </c>
    </row>
    <row r="130" spans="2:11" x14ac:dyDescent="0.3">
      <c r="B130" s="30">
        <f>IF(LoanIsGood,IF(ROW()-ROW(PaymentSchedule4[[#Headers],[PMT NO]])&gt;ScheduledNumberOfPayments,"",ROW()-ROW(PaymentSchedule4[[#Headers],[PMT NO]])),"")</f>
        <v>115</v>
      </c>
      <c r="C130" s="31">
        <f>IF(PaymentSchedule4[[#This Row],[PMT NO]]&lt;&gt;"",EOMONTH(LoanStartDate,ROW(PaymentSchedule4[[#This Row],[PMT NO]])-ROW(PaymentSchedule4[[#Headers],[PMT NO]])-2)+DAY(LoanStartDate),"")</f>
        <v>46844</v>
      </c>
      <c r="D130" s="32">
        <f>IF(PaymentSchedule4[[#This Row],[PMT NO]]&lt;&gt;"",IF(ROW()-ROW(PaymentSchedule4[[#Headers],[BEGINNING BALANCE]])=1,LoanAmount,INDEX(PaymentSchedule4[ENDING BALANCE],ROW()-ROW(PaymentSchedule4[[#Headers],[BEGINNING BALANCE]])-1)),"")</f>
        <v>121967.16822180894</v>
      </c>
      <c r="E130" s="32">
        <f>IF(PaymentSchedule4[[#This Row],[PMT NO]]&lt;&gt;"",ScheduledPayment,"")</f>
        <v>760.02796473882097</v>
      </c>
      <c r="F13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3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30" s="32">
        <f>IF(PaymentSchedule4[[#This Row],[PMT NO]]&lt;&gt;"",PaymentSchedule4[[#This Row],[TOTAL PAYMENT]]-PaymentSchedule4[[#This Row],[INTEREST]],"")</f>
        <v>302.65108390703745</v>
      </c>
      <c r="I130" s="32">
        <f>IF(PaymentSchedule4[[#This Row],[PMT NO]]&lt;&gt;"",PaymentSchedule4[[#This Row],[BEGINNING BALANCE]]*(InterestRate/PaymentsPerYear),"")</f>
        <v>457.37688083178352</v>
      </c>
      <c r="J13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121664.5171379019</v>
      </c>
      <c r="K130" s="32">
        <f>IF(PaymentSchedule4[[#This Row],[PMT NO]]&lt;&gt;"",SUM(INDEX(PaymentSchedule4[INTEREST],1,1):PaymentSchedule4[[#This Row],[INTEREST]]),"")</f>
        <v>59067.733082866245</v>
      </c>
    </row>
    <row r="131" spans="2:11" x14ac:dyDescent="0.3">
      <c r="B131" s="30">
        <f>IF(LoanIsGood,IF(ROW()-ROW(PaymentSchedule4[[#Headers],[PMT NO]])&gt;ScheduledNumberOfPayments,"",ROW()-ROW(PaymentSchedule4[[#Headers],[PMT NO]])),"")</f>
        <v>116</v>
      </c>
      <c r="C131" s="31">
        <f>IF(PaymentSchedule4[[#This Row],[PMT NO]]&lt;&gt;"",EOMONTH(LoanStartDate,ROW(PaymentSchedule4[[#This Row],[PMT NO]])-ROW(PaymentSchedule4[[#Headers],[PMT NO]])-2)+DAY(LoanStartDate),"")</f>
        <v>46874</v>
      </c>
      <c r="D131" s="32">
        <f>IF(PaymentSchedule4[[#This Row],[PMT NO]]&lt;&gt;"",IF(ROW()-ROW(PaymentSchedule4[[#Headers],[BEGINNING BALANCE]])=1,LoanAmount,INDEX(PaymentSchedule4[ENDING BALANCE],ROW()-ROW(PaymentSchedule4[[#Headers],[BEGINNING BALANCE]])-1)),"")</f>
        <v>121664.5171379019</v>
      </c>
      <c r="E131" s="32">
        <f>IF(PaymentSchedule4[[#This Row],[PMT NO]]&lt;&gt;"",ScheduledPayment,"")</f>
        <v>760.02796473882097</v>
      </c>
      <c r="F13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3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31" s="32">
        <f>IF(PaymentSchedule4[[#This Row],[PMT NO]]&lt;&gt;"",PaymentSchedule4[[#This Row],[TOTAL PAYMENT]]-PaymentSchedule4[[#This Row],[INTEREST]],"")</f>
        <v>303.78602547168884</v>
      </c>
      <c r="I131" s="32">
        <f>IF(PaymentSchedule4[[#This Row],[PMT NO]]&lt;&gt;"",PaymentSchedule4[[#This Row],[BEGINNING BALANCE]]*(InterestRate/PaymentsPerYear),"")</f>
        <v>456.24193926713212</v>
      </c>
      <c r="J13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121360.73111243021</v>
      </c>
      <c r="K131" s="32">
        <f>IF(PaymentSchedule4[[#This Row],[PMT NO]]&lt;&gt;"",SUM(INDEX(PaymentSchedule4[INTEREST],1,1):PaymentSchedule4[[#This Row],[INTEREST]]),"")</f>
        <v>59523.975022133374</v>
      </c>
    </row>
    <row r="132" spans="2:11" x14ac:dyDescent="0.3">
      <c r="B132" s="30">
        <f>IF(LoanIsGood,IF(ROW()-ROW(PaymentSchedule4[[#Headers],[PMT NO]])&gt;ScheduledNumberOfPayments,"",ROW()-ROW(PaymentSchedule4[[#Headers],[PMT NO]])),"")</f>
        <v>117</v>
      </c>
      <c r="C132" s="31">
        <f>IF(PaymentSchedule4[[#This Row],[PMT NO]]&lt;&gt;"",EOMONTH(LoanStartDate,ROW(PaymentSchedule4[[#This Row],[PMT NO]])-ROW(PaymentSchedule4[[#Headers],[PMT NO]])-2)+DAY(LoanStartDate),"")</f>
        <v>46905</v>
      </c>
      <c r="D132" s="32">
        <f>IF(PaymentSchedule4[[#This Row],[PMT NO]]&lt;&gt;"",IF(ROW()-ROW(PaymentSchedule4[[#Headers],[BEGINNING BALANCE]])=1,LoanAmount,INDEX(PaymentSchedule4[ENDING BALANCE],ROW()-ROW(PaymentSchedule4[[#Headers],[BEGINNING BALANCE]])-1)),"")</f>
        <v>121360.73111243021</v>
      </c>
      <c r="E132" s="32">
        <f>IF(PaymentSchedule4[[#This Row],[PMT NO]]&lt;&gt;"",ScheduledPayment,"")</f>
        <v>760.02796473882097</v>
      </c>
      <c r="F13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3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32" s="32">
        <f>IF(PaymentSchedule4[[#This Row],[PMT NO]]&lt;&gt;"",PaymentSchedule4[[#This Row],[TOTAL PAYMENT]]-PaymentSchedule4[[#This Row],[INTEREST]],"")</f>
        <v>304.9252230672077</v>
      </c>
      <c r="I132" s="32">
        <f>IF(PaymentSchedule4[[#This Row],[PMT NO]]&lt;&gt;"",PaymentSchedule4[[#This Row],[BEGINNING BALANCE]]*(InterestRate/PaymentsPerYear),"")</f>
        <v>455.10274167161327</v>
      </c>
      <c r="J13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121055.80588936299</v>
      </c>
      <c r="K132" s="32">
        <f>IF(PaymentSchedule4[[#This Row],[PMT NO]]&lt;&gt;"",SUM(INDEX(PaymentSchedule4[INTEREST],1,1):PaymentSchedule4[[#This Row],[INTEREST]]),"")</f>
        <v>59979.077763804984</v>
      </c>
    </row>
    <row r="133" spans="2:11" x14ac:dyDescent="0.3">
      <c r="B133" s="30">
        <f>IF(LoanIsGood,IF(ROW()-ROW(PaymentSchedule4[[#Headers],[PMT NO]])&gt;ScheduledNumberOfPayments,"",ROW()-ROW(PaymentSchedule4[[#Headers],[PMT NO]])),"")</f>
        <v>118</v>
      </c>
      <c r="C133" s="31">
        <f>IF(PaymentSchedule4[[#This Row],[PMT NO]]&lt;&gt;"",EOMONTH(LoanStartDate,ROW(PaymentSchedule4[[#This Row],[PMT NO]])-ROW(PaymentSchedule4[[#Headers],[PMT NO]])-2)+DAY(LoanStartDate),"")</f>
        <v>46935</v>
      </c>
      <c r="D133" s="32">
        <f>IF(PaymentSchedule4[[#This Row],[PMT NO]]&lt;&gt;"",IF(ROW()-ROW(PaymentSchedule4[[#Headers],[BEGINNING BALANCE]])=1,LoanAmount,INDEX(PaymentSchedule4[ENDING BALANCE],ROW()-ROW(PaymentSchedule4[[#Headers],[BEGINNING BALANCE]])-1)),"")</f>
        <v>121055.80588936299</v>
      </c>
      <c r="E133" s="32">
        <f>IF(PaymentSchedule4[[#This Row],[PMT NO]]&lt;&gt;"",ScheduledPayment,"")</f>
        <v>760.02796473882097</v>
      </c>
      <c r="F13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3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33" s="32">
        <f>IF(PaymentSchedule4[[#This Row],[PMT NO]]&lt;&gt;"",PaymentSchedule4[[#This Row],[TOTAL PAYMENT]]-PaymentSchedule4[[#This Row],[INTEREST]],"")</f>
        <v>306.06869265370977</v>
      </c>
      <c r="I133" s="32">
        <f>IF(PaymentSchedule4[[#This Row],[PMT NO]]&lt;&gt;"",PaymentSchedule4[[#This Row],[BEGINNING BALANCE]]*(InterestRate/PaymentsPerYear),"")</f>
        <v>453.95927208511119</v>
      </c>
      <c r="J13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120749.73719670928</v>
      </c>
      <c r="K133" s="32">
        <f>IF(PaymentSchedule4[[#This Row],[PMT NO]]&lt;&gt;"",SUM(INDEX(PaymentSchedule4[INTEREST],1,1):PaymentSchedule4[[#This Row],[INTEREST]]),"")</f>
        <v>60433.037035890098</v>
      </c>
    </row>
    <row r="134" spans="2:11" x14ac:dyDescent="0.3">
      <c r="B134" s="30">
        <f>IF(LoanIsGood,IF(ROW()-ROW(PaymentSchedule4[[#Headers],[PMT NO]])&gt;ScheduledNumberOfPayments,"",ROW()-ROW(PaymentSchedule4[[#Headers],[PMT NO]])),"")</f>
        <v>119</v>
      </c>
      <c r="C134" s="31">
        <f>IF(PaymentSchedule4[[#This Row],[PMT NO]]&lt;&gt;"",EOMONTH(LoanStartDate,ROW(PaymentSchedule4[[#This Row],[PMT NO]])-ROW(PaymentSchedule4[[#Headers],[PMT NO]])-2)+DAY(LoanStartDate),"")</f>
        <v>46966</v>
      </c>
      <c r="D134" s="32">
        <f>IF(PaymentSchedule4[[#This Row],[PMT NO]]&lt;&gt;"",IF(ROW()-ROW(PaymentSchedule4[[#Headers],[BEGINNING BALANCE]])=1,LoanAmount,INDEX(PaymentSchedule4[ENDING BALANCE],ROW()-ROW(PaymentSchedule4[[#Headers],[BEGINNING BALANCE]])-1)),"")</f>
        <v>120749.73719670928</v>
      </c>
      <c r="E134" s="32">
        <f>IF(PaymentSchedule4[[#This Row],[PMT NO]]&lt;&gt;"",ScheduledPayment,"")</f>
        <v>760.02796473882097</v>
      </c>
      <c r="F13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3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34" s="32">
        <f>IF(PaymentSchedule4[[#This Row],[PMT NO]]&lt;&gt;"",PaymentSchedule4[[#This Row],[TOTAL PAYMENT]]-PaymentSchedule4[[#This Row],[INTEREST]],"")</f>
        <v>307.21645025116118</v>
      </c>
      <c r="I134" s="32">
        <f>IF(PaymentSchedule4[[#This Row],[PMT NO]]&lt;&gt;"",PaymentSchedule4[[#This Row],[BEGINNING BALANCE]]*(InterestRate/PaymentsPerYear),"")</f>
        <v>452.81151448765979</v>
      </c>
      <c r="J13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120442.52074645812</v>
      </c>
      <c r="K134" s="32">
        <f>IF(PaymentSchedule4[[#This Row],[PMT NO]]&lt;&gt;"",SUM(INDEX(PaymentSchedule4[INTEREST],1,1):PaymentSchedule4[[#This Row],[INTEREST]]),"")</f>
        <v>60885.848550377756</v>
      </c>
    </row>
    <row r="135" spans="2:11" x14ac:dyDescent="0.3">
      <c r="B135" s="30">
        <f>IF(LoanIsGood,IF(ROW()-ROW(PaymentSchedule4[[#Headers],[PMT NO]])&gt;ScheduledNumberOfPayments,"",ROW()-ROW(PaymentSchedule4[[#Headers],[PMT NO]])),"")</f>
        <v>120</v>
      </c>
      <c r="C135" s="31">
        <f>IF(PaymentSchedule4[[#This Row],[PMT NO]]&lt;&gt;"",EOMONTH(LoanStartDate,ROW(PaymentSchedule4[[#This Row],[PMT NO]])-ROW(PaymentSchedule4[[#Headers],[PMT NO]])-2)+DAY(LoanStartDate),"")</f>
        <v>46997</v>
      </c>
      <c r="D135" s="32">
        <f>IF(PaymentSchedule4[[#This Row],[PMT NO]]&lt;&gt;"",IF(ROW()-ROW(PaymentSchedule4[[#Headers],[BEGINNING BALANCE]])=1,LoanAmount,INDEX(PaymentSchedule4[ENDING BALANCE],ROW()-ROW(PaymentSchedule4[[#Headers],[BEGINNING BALANCE]])-1)),"")</f>
        <v>120442.52074645812</v>
      </c>
      <c r="E135" s="32">
        <f>IF(PaymentSchedule4[[#This Row],[PMT NO]]&lt;&gt;"",ScheduledPayment,"")</f>
        <v>760.02796473882097</v>
      </c>
      <c r="F13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3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35" s="32">
        <f>IF(PaymentSchedule4[[#This Row],[PMT NO]]&lt;&gt;"",PaymentSchedule4[[#This Row],[TOTAL PAYMENT]]-PaymentSchedule4[[#This Row],[INTEREST]],"")</f>
        <v>308.36851193960302</v>
      </c>
      <c r="I135" s="32">
        <f>IF(PaymentSchedule4[[#This Row],[PMT NO]]&lt;&gt;"",PaymentSchedule4[[#This Row],[BEGINNING BALANCE]]*(InterestRate/PaymentsPerYear),"")</f>
        <v>451.65945279921795</v>
      </c>
      <c r="J13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120134.15223451852</v>
      </c>
      <c r="K135" s="32">
        <f>IF(PaymentSchedule4[[#This Row],[PMT NO]]&lt;&gt;"",SUM(INDEX(PaymentSchedule4[INTEREST],1,1):PaymentSchedule4[[#This Row],[INTEREST]]),"")</f>
        <v>61337.508003176976</v>
      </c>
    </row>
    <row r="136" spans="2:11" x14ac:dyDescent="0.3">
      <c r="B136" s="30">
        <f>IF(LoanIsGood,IF(ROW()-ROW(PaymentSchedule4[[#Headers],[PMT NO]])&gt;ScheduledNumberOfPayments,"",ROW()-ROW(PaymentSchedule4[[#Headers],[PMT NO]])),"")</f>
        <v>121</v>
      </c>
      <c r="C136" s="31">
        <f>IF(PaymentSchedule4[[#This Row],[PMT NO]]&lt;&gt;"",EOMONTH(LoanStartDate,ROW(PaymentSchedule4[[#This Row],[PMT NO]])-ROW(PaymentSchedule4[[#Headers],[PMT NO]])-2)+DAY(LoanStartDate),"")</f>
        <v>47027</v>
      </c>
      <c r="D136" s="32">
        <f>IF(PaymentSchedule4[[#This Row],[PMT NO]]&lt;&gt;"",IF(ROW()-ROW(PaymentSchedule4[[#Headers],[BEGINNING BALANCE]])=1,LoanAmount,INDEX(PaymentSchedule4[ENDING BALANCE],ROW()-ROW(PaymentSchedule4[[#Headers],[BEGINNING BALANCE]])-1)),"")</f>
        <v>120134.15223451852</v>
      </c>
      <c r="E136" s="32">
        <f>IF(PaymentSchedule4[[#This Row],[PMT NO]]&lt;&gt;"",ScheduledPayment,"")</f>
        <v>760.02796473882097</v>
      </c>
      <c r="F13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3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36" s="32">
        <f>IF(PaymentSchedule4[[#This Row],[PMT NO]]&lt;&gt;"",PaymentSchedule4[[#This Row],[TOTAL PAYMENT]]-PaymentSchedule4[[#This Row],[INTEREST]],"")</f>
        <v>309.5248938593765</v>
      </c>
      <c r="I136" s="32">
        <f>IF(PaymentSchedule4[[#This Row],[PMT NO]]&lt;&gt;"",PaymentSchedule4[[#This Row],[BEGINNING BALANCE]]*(InterestRate/PaymentsPerYear),"")</f>
        <v>450.50307087944446</v>
      </c>
      <c r="J13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119824.62734065915</v>
      </c>
      <c r="K136" s="32">
        <f>IF(PaymentSchedule4[[#This Row],[PMT NO]]&lt;&gt;"",SUM(INDEX(PaymentSchedule4[INTEREST],1,1):PaymentSchedule4[[#This Row],[INTEREST]]),"")</f>
        <v>61788.01107405642</v>
      </c>
    </row>
    <row r="137" spans="2:11" x14ac:dyDescent="0.3">
      <c r="B137" s="30">
        <f>IF(LoanIsGood,IF(ROW()-ROW(PaymentSchedule4[[#Headers],[PMT NO]])&gt;ScheduledNumberOfPayments,"",ROW()-ROW(PaymentSchedule4[[#Headers],[PMT NO]])),"")</f>
        <v>122</v>
      </c>
      <c r="C137" s="31">
        <f>IF(PaymentSchedule4[[#This Row],[PMT NO]]&lt;&gt;"",EOMONTH(LoanStartDate,ROW(PaymentSchedule4[[#This Row],[PMT NO]])-ROW(PaymentSchedule4[[#Headers],[PMT NO]])-2)+DAY(LoanStartDate),"")</f>
        <v>47058</v>
      </c>
      <c r="D137" s="32">
        <f>IF(PaymentSchedule4[[#This Row],[PMT NO]]&lt;&gt;"",IF(ROW()-ROW(PaymentSchedule4[[#Headers],[BEGINNING BALANCE]])=1,LoanAmount,INDEX(PaymentSchedule4[ENDING BALANCE],ROW()-ROW(PaymentSchedule4[[#Headers],[BEGINNING BALANCE]])-1)),"")</f>
        <v>119824.62734065915</v>
      </c>
      <c r="E137" s="32">
        <f>IF(PaymentSchedule4[[#This Row],[PMT NO]]&lt;&gt;"",ScheduledPayment,"")</f>
        <v>760.02796473882097</v>
      </c>
      <c r="F13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3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37" s="32">
        <f>IF(PaymentSchedule4[[#This Row],[PMT NO]]&lt;&gt;"",PaymentSchedule4[[#This Row],[TOTAL PAYMENT]]-PaymentSchedule4[[#This Row],[INTEREST]],"")</f>
        <v>310.68561221134917</v>
      </c>
      <c r="I137" s="32">
        <f>IF(PaymentSchedule4[[#This Row],[PMT NO]]&lt;&gt;"",PaymentSchedule4[[#This Row],[BEGINNING BALANCE]]*(InterestRate/PaymentsPerYear),"")</f>
        <v>449.3423525274718</v>
      </c>
      <c r="J13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119513.9417284478</v>
      </c>
      <c r="K137" s="32">
        <f>IF(PaymentSchedule4[[#This Row],[PMT NO]]&lt;&gt;"",SUM(INDEX(PaymentSchedule4[INTEREST],1,1):PaymentSchedule4[[#This Row],[INTEREST]]),"")</f>
        <v>62237.35342658389</v>
      </c>
    </row>
    <row r="138" spans="2:11" x14ac:dyDescent="0.3">
      <c r="B138" s="30">
        <f>IF(LoanIsGood,IF(ROW()-ROW(PaymentSchedule4[[#Headers],[PMT NO]])&gt;ScheduledNumberOfPayments,"",ROW()-ROW(PaymentSchedule4[[#Headers],[PMT NO]])),"")</f>
        <v>123</v>
      </c>
      <c r="C138" s="31">
        <f>IF(PaymentSchedule4[[#This Row],[PMT NO]]&lt;&gt;"",EOMONTH(LoanStartDate,ROW(PaymentSchedule4[[#This Row],[PMT NO]])-ROW(PaymentSchedule4[[#Headers],[PMT NO]])-2)+DAY(LoanStartDate),"")</f>
        <v>47088</v>
      </c>
      <c r="D138" s="32">
        <f>IF(PaymentSchedule4[[#This Row],[PMT NO]]&lt;&gt;"",IF(ROW()-ROW(PaymentSchedule4[[#Headers],[BEGINNING BALANCE]])=1,LoanAmount,INDEX(PaymentSchedule4[ENDING BALANCE],ROW()-ROW(PaymentSchedule4[[#Headers],[BEGINNING BALANCE]])-1)),"")</f>
        <v>119513.9417284478</v>
      </c>
      <c r="E138" s="32">
        <f>IF(PaymentSchedule4[[#This Row],[PMT NO]]&lt;&gt;"",ScheduledPayment,"")</f>
        <v>760.02796473882097</v>
      </c>
      <c r="F13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3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38" s="32">
        <f>IF(PaymentSchedule4[[#This Row],[PMT NO]]&lt;&gt;"",PaymentSchedule4[[#This Row],[TOTAL PAYMENT]]-PaymentSchedule4[[#This Row],[INTEREST]],"")</f>
        <v>311.85068325714172</v>
      </c>
      <c r="I138" s="32">
        <f>IF(PaymentSchedule4[[#This Row],[PMT NO]]&lt;&gt;"",PaymentSchedule4[[#This Row],[BEGINNING BALANCE]]*(InterestRate/PaymentsPerYear),"")</f>
        <v>448.17728148167924</v>
      </c>
      <c r="J13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119202.09104519065</v>
      </c>
      <c r="K138" s="32">
        <f>IF(PaymentSchedule4[[#This Row],[PMT NO]]&lt;&gt;"",SUM(INDEX(PaymentSchedule4[INTEREST],1,1):PaymentSchedule4[[#This Row],[INTEREST]]),"")</f>
        <v>62685.530708065569</v>
      </c>
    </row>
    <row r="139" spans="2:11" x14ac:dyDescent="0.3">
      <c r="B139" s="30">
        <f>IF(LoanIsGood,IF(ROW()-ROW(PaymentSchedule4[[#Headers],[PMT NO]])&gt;ScheduledNumberOfPayments,"",ROW()-ROW(PaymentSchedule4[[#Headers],[PMT NO]])),"")</f>
        <v>124</v>
      </c>
      <c r="C139" s="31">
        <f>IF(PaymentSchedule4[[#This Row],[PMT NO]]&lt;&gt;"",EOMONTH(LoanStartDate,ROW(PaymentSchedule4[[#This Row],[PMT NO]])-ROW(PaymentSchedule4[[#Headers],[PMT NO]])-2)+DAY(LoanStartDate),"")</f>
        <v>47119</v>
      </c>
      <c r="D139" s="32">
        <f>IF(PaymentSchedule4[[#This Row],[PMT NO]]&lt;&gt;"",IF(ROW()-ROW(PaymentSchedule4[[#Headers],[BEGINNING BALANCE]])=1,LoanAmount,INDEX(PaymentSchedule4[ENDING BALANCE],ROW()-ROW(PaymentSchedule4[[#Headers],[BEGINNING BALANCE]])-1)),"")</f>
        <v>119202.09104519065</v>
      </c>
      <c r="E139" s="32">
        <f>IF(PaymentSchedule4[[#This Row],[PMT NO]]&lt;&gt;"",ScheduledPayment,"")</f>
        <v>760.02796473882097</v>
      </c>
      <c r="F13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3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39" s="32">
        <f>IF(PaymentSchedule4[[#This Row],[PMT NO]]&lt;&gt;"",PaymentSchedule4[[#This Row],[TOTAL PAYMENT]]-PaymentSchedule4[[#This Row],[INTEREST]],"")</f>
        <v>313.02012331935606</v>
      </c>
      <c r="I139" s="32">
        <f>IF(PaymentSchedule4[[#This Row],[PMT NO]]&lt;&gt;"",PaymentSchedule4[[#This Row],[BEGINNING BALANCE]]*(InterestRate/PaymentsPerYear),"")</f>
        <v>447.00784141946491</v>
      </c>
      <c r="J13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118889.0709218713</v>
      </c>
      <c r="K139" s="32">
        <f>IF(PaymentSchedule4[[#This Row],[PMT NO]]&lt;&gt;"",SUM(INDEX(PaymentSchedule4[INTEREST],1,1):PaymentSchedule4[[#This Row],[INTEREST]]),"")</f>
        <v>63132.538549485034</v>
      </c>
    </row>
    <row r="140" spans="2:11" x14ac:dyDescent="0.3">
      <c r="B140" s="30">
        <f>IF(LoanIsGood,IF(ROW()-ROW(PaymentSchedule4[[#Headers],[PMT NO]])&gt;ScheduledNumberOfPayments,"",ROW()-ROW(PaymentSchedule4[[#Headers],[PMT NO]])),"")</f>
        <v>125</v>
      </c>
      <c r="C140" s="31">
        <f>IF(PaymentSchedule4[[#This Row],[PMT NO]]&lt;&gt;"",EOMONTH(LoanStartDate,ROW(PaymentSchedule4[[#This Row],[PMT NO]])-ROW(PaymentSchedule4[[#Headers],[PMT NO]])-2)+DAY(LoanStartDate),"")</f>
        <v>47150</v>
      </c>
      <c r="D140" s="32">
        <f>IF(PaymentSchedule4[[#This Row],[PMT NO]]&lt;&gt;"",IF(ROW()-ROW(PaymentSchedule4[[#Headers],[BEGINNING BALANCE]])=1,LoanAmount,INDEX(PaymentSchedule4[ENDING BALANCE],ROW()-ROW(PaymentSchedule4[[#Headers],[BEGINNING BALANCE]])-1)),"")</f>
        <v>118889.0709218713</v>
      </c>
      <c r="E140" s="32">
        <f>IF(PaymentSchedule4[[#This Row],[PMT NO]]&lt;&gt;"",ScheduledPayment,"")</f>
        <v>760.02796473882097</v>
      </c>
      <c r="F14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4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40" s="32">
        <f>IF(PaymentSchedule4[[#This Row],[PMT NO]]&lt;&gt;"",PaymentSchedule4[[#This Row],[TOTAL PAYMENT]]-PaymentSchedule4[[#This Row],[INTEREST]],"")</f>
        <v>314.19394878180361</v>
      </c>
      <c r="I140" s="32">
        <f>IF(PaymentSchedule4[[#This Row],[PMT NO]]&lt;&gt;"",PaymentSchedule4[[#This Row],[BEGINNING BALANCE]]*(InterestRate/PaymentsPerYear),"")</f>
        <v>445.83401595701736</v>
      </c>
      <c r="J14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118574.8769730895</v>
      </c>
      <c r="K140" s="32">
        <f>IF(PaymentSchedule4[[#This Row],[PMT NO]]&lt;&gt;"",SUM(INDEX(PaymentSchedule4[INTEREST],1,1):PaymentSchedule4[[#This Row],[INTEREST]]),"")</f>
        <v>63578.372565442049</v>
      </c>
    </row>
    <row r="141" spans="2:11" x14ac:dyDescent="0.3">
      <c r="B141" s="30">
        <f>IF(LoanIsGood,IF(ROW()-ROW(PaymentSchedule4[[#Headers],[PMT NO]])&gt;ScheduledNumberOfPayments,"",ROW()-ROW(PaymentSchedule4[[#Headers],[PMT NO]])),"")</f>
        <v>126</v>
      </c>
      <c r="C141" s="31">
        <f>IF(PaymentSchedule4[[#This Row],[PMT NO]]&lt;&gt;"",EOMONTH(LoanStartDate,ROW(PaymentSchedule4[[#This Row],[PMT NO]])-ROW(PaymentSchedule4[[#Headers],[PMT NO]])-2)+DAY(LoanStartDate),"")</f>
        <v>47178</v>
      </c>
      <c r="D141" s="32">
        <f>IF(PaymentSchedule4[[#This Row],[PMT NO]]&lt;&gt;"",IF(ROW()-ROW(PaymentSchedule4[[#Headers],[BEGINNING BALANCE]])=1,LoanAmount,INDEX(PaymentSchedule4[ENDING BALANCE],ROW()-ROW(PaymentSchedule4[[#Headers],[BEGINNING BALANCE]])-1)),"")</f>
        <v>118574.8769730895</v>
      </c>
      <c r="E141" s="32">
        <f>IF(PaymentSchedule4[[#This Row],[PMT NO]]&lt;&gt;"",ScheduledPayment,"")</f>
        <v>760.02796473882097</v>
      </c>
      <c r="F14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4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41" s="32">
        <f>IF(PaymentSchedule4[[#This Row],[PMT NO]]&lt;&gt;"",PaymentSchedule4[[#This Row],[TOTAL PAYMENT]]-PaymentSchedule4[[#This Row],[INTEREST]],"")</f>
        <v>315.37217608973538</v>
      </c>
      <c r="I141" s="32">
        <f>IF(PaymentSchedule4[[#This Row],[PMT NO]]&lt;&gt;"",PaymentSchedule4[[#This Row],[BEGINNING BALANCE]]*(InterestRate/PaymentsPerYear),"")</f>
        <v>444.65578864908559</v>
      </c>
      <c r="J14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118259.50479699977</v>
      </c>
      <c r="K141" s="32">
        <f>IF(PaymentSchedule4[[#This Row],[PMT NO]]&lt;&gt;"",SUM(INDEX(PaymentSchedule4[INTEREST],1,1):PaymentSchedule4[[#This Row],[INTEREST]]),"")</f>
        <v>64023.028354091133</v>
      </c>
    </row>
    <row r="142" spans="2:11" x14ac:dyDescent="0.3">
      <c r="B142" s="30">
        <f>IF(LoanIsGood,IF(ROW()-ROW(PaymentSchedule4[[#Headers],[PMT NO]])&gt;ScheduledNumberOfPayments,"",ROW()-ROW(PaymentSchedule4[[#Headers],[PMT NO]])),"")</f>
        <v>127</v>
      </c>
      <c r="C142" s="31">
        <f>IF(PaymentSchedule4[[#This Row],[PMT NO]]&lt;&gt;"",EOMONTH(LoanStartDate,ROW(PaymentSchedule4[[#This Row],[PMT NO]])-ROW(PaymentSchedule4[[#Headers],[PMT NO]])-2)+DAY(LoanStartDate),"")</f>
        <v>47209</v>
      </c>
      <c r="D142" s="32">
        <f>IF(PaymentSchedule4[[#This Row],[PMT NO]]&lt;&gt;"",IF(ROW()-ROW(PaymentSchedule4[[#Headers],[BEGINNING BALANCE]])=1,LoanAmount,INDEX(PaymentSchedule4[ENDING BALANCE],ROW()-ROW(PaymentSchedule4[[#Headers],[BEGINNING BALANCE]])-1)),"")</f>
        <v>118259.50479699977</v>
      </c>
      <c r="E142" s="32">
        <f>IF(PaymentSchedule4[[#This Row],[PMT NO]]&lt;&gt;"",ScheduledPayment,"")</f>
        <v>760.02796473882097</v>
      </c>
      <c r="F14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4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42" s="32">
        <f>IF(PaymentSchedule4[[#This Row],[PMT NO]]&lt;&gt;"",PaymentSchedule4[[#This Row],[TOTAL PAYMENT]]-PaymentSchedule4[[#This Row],[INTEREST]],"")</f>
        <v>316.55482175007188</v>
      </c>
      <c r="I142" s="32">
        <f>IF(PaymentSchedule4[[#This Row],[PMT NO]]&lt;&gt;"",PaymentSchedule4[[#This Row],[BEGINNING BALANCE]]*(InterestRate/PaymentsPerYear),"")</f>
        <v>443.47314298874909</v>
      </c>
      <c r="J14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117942.94997524969</v>
      </c>
      <c r="K142" s="32">
        <f>IF(PaymentSchedule4[[#This Row],[PMT NO]]&lt;&gt;"",SUM(INDEX(PaymentSchedule4[INTEREST],1,1):PaymentSchedule4[[#This Row],[INTEREST]]),"")</f>
        <v>64466.50149707988</v>
      </c>
    </row>
    <row r="143" spans="2:11" x14ac:dyDescent="0.3">
      <c r="B143" s="30">
        <f>IF(LoanIsGood,IF(ROW()-ROW(PaymentSchedule4[[#Headers],[PMT NO]])&gt;ScheduledNumberOfPayments,"",ROW()-ROW(PaymentSchedule4[[#Headers],[PMT NO]])),"")</f>
        <v>128</v>
      </c>
      <c r="C143" s="31">
        <f>IF(PaymentSchedule4[[#This Row],[PMT NO]]&lt;&gt;"",EOMONTH(LoanStartDate,ROW(PaymentSchedule4[[#This Row],[PMT NO]])-ROW(PaymentSchedule4[[#Headers],[PMT NO]])-2)+DAY(LoanStartDate),"")</f>
        <v>47239</v>
      </c>
      <c r="D143" s="32">
        <f>IF(PaymentSchedule4[[#This Row],[PMT NO]]&lt;&gt;"",IF(ROW()-ROW(PaymentSchedule4[[#Headers],[BEGINNING BALANCE]])=1,LoanAmount,INDEX(PaymentSchedule4[ENDING BALANCE],ROW()-ROW(PaymentSchedule4[[#Headers],[BEGINNING BALANCE]])-1)),"")</f>
        <v>117942.94997524969</v>
      </c>
      <c r="E143" s="32">
        <f>IF(PaymentSchedule4[[#This Row],[PMT NO]]&lt;&gt;"",ScheduledPayment,"")</f>
        <v>760.02796473882097</v>
      </c>
      <c r="F14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4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43" s="32">
        <f>IF(PaymentSchedule4[[#This Row],[PMT NO]]&lt;&gt;"",PaymentSchedule4[[#This Row],[TOTAL PAYMENT]]-PaymentSchedule4[[#This Row],[INTEREST]],"")</f>
        <v>317.74190233163466</v>
      </c>
      <c r="I143" s="32">
        <f>IF(PaymentSchedule4[[#This Row],[PMT NO]]&lt;&gt;"",PaymentSchedule4[[#This Row],[BEGINNING BALANCE]]*(InterestRate/PaymentsPerYear),"")</f>
        <v>442.28606240718631</v>
      </c>
      <c r="J14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117625.20807291806</v>
      </c>
      <c r="K143" s="32">
        <f>IF(PaymentSchedule4[[#This Row],[PMT NO]]&lt;&gt;"",SUM(INDEX(PaymentSchedule4[INTEREST],1,1):PaymentSchedule4[[#This Row],[INTEREST]]),"")</f>
        <v>64908.787559487064</v>
      </c>
    </row>
    <row r="144" spans="2:11" x14ac:dyDescent="0.3">
      <c r="B144" s="30">
        <f>IF(LoanIsGood,IF(ROW()-ROW(PaymentSchedule4[[#Headers],[PMT NO]])&gt;ScheduledNumberOfPayments,"",ROW()-ROW(PaymentSchedule4[[#Headers],[PMT NO]])),"")</f>
        <v>129</v>
      </c>
      <c r="C144" s="31">
        <f>IF(PaymentSchedule4[[#This Row],[PMT NO]]&lt;&gt;"",EOMONTH(LoanStartDate,ROW(PaymentSchedule4[[#This Row],[PMT NO]])-ROW(PaymentSchedule4[[#Headers],[PMT NO]])-2)+DAY(LoanStartDate),"")</f>
        <v>47270</v>
      </c>
      <c r="D144" s="32">
        <f>IF(PaymentSchedule4[[#This Row],[PMT NO]]&lt;&gt;"",IF(ROW()-ROW(PaymentSchedule4[[#Headers],[BEGINNING BALANCE]])=1,LoanAmount,INDEX(PaymentSchedule4[ENDING BALANCE],ROW()-ROW(PaymentSchedule4[[#Headers],[BEGINNING BALANCE]])-1)),"")</f>
        <v>117625.20807291806</v>
      </c>
      <c r="E144" s="32">
        <f>IF(PaymentSchedule4[[#This Row],[PMT NO]]&lt;&gt;"",ScheduledPayment,"")</f>
        <v>760.02796473882097</v>
      </c>
      <c r="F14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4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44" s="32">
        <f>IF(PaymentSchedule4[[#This Row],[PMT NO]]&lt;&gt;"",PaymentSchedule4[[#This Row],[TOTAL PAYMENT]]-PaymentSchedule4[[#This Row],[INTEREST]],"")</f>
        <v>318.93343446537824</v>
      </c>
      <c r="I144" s="32">
        <f>IF(PaymentSchedule4[[#This Row],[PMT NO]]&lt;&gt;"",PaymentSchedule4[[#This Row],[BEGINNING BALANCE]]*(InterestRate/PaymentsPerYear),"")</f>
        <v>441.09453027344273</v>
      </c>
      <c r="J14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117306.27463845268</v>
      </c>
      <c r="K144" s="32">
        <f>IF(PaymentSchedule4[[#This Row],[PMT NO]]&lt;&gt;"",SUM(INDEX(PaymentSchedule4[INTEREST],1,1):PaymentSchedule4[[#This Row],[INTEREST]]),"")</f>
        <v>65349.882089760504</v>
      </c>
    </row>
    <row r="145" spans="2:11" x14ac:dyDescent="0.3">
      <c r="B145" s="30">
        <f>IF(LoanIsGood,IF(ROW()-ROW(PaymentSchedule4[[#Headers],[PMT NO]])&gt;ScheduledNumberOfPayments,"",ROW()-ROW(PaymentSchedule4[[#Headers],[PMT NO]])),"")</f>
        <v>130</v>
      </c>
      <c r="C145" s="31">
        <f>IF(PaymentSchedule4[[#This Row],[PMT NO]]&lt;&gt;"",EOMONTH(LoanStartDate,ROW(PaymentSchedule4[[#This Row],[PMT NO]])-ROW(PaymentSchedule4[[#Headers],[PMT NO]])-2)+DAY(LoanStartDate),"")</f>
        <v>47300</v>
      </c>
      <c r="D145" s="32">
        <f>IF(PaymentSchedule4[[#This Row],[PMT NO]]&lt;&gt;"",IF(ROW()-ROW(PaymentSchedule4[[#Headers],[BEGINNING BALANCE]])=1,LoanAmount,INDEX(PaymentSchedule4[ENDING BALANCE],ROW()-ROW(PaymentSchedule4[[#Headers],[BEGINNING BALANCE]])-1)),"")</f>
        <v>117306.27463845268</v>
      </c>
      <c r="E145" s="32">
        <f>IF(PaymentSchedule4[[#This Row],[PMT NO]]&lt;&gt;"",ScheduledPayment,"")</f>
        <v>760.02796473882097</v>
      </c>
      <c r="F14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4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45" s="32">
        <f>IF(PaymentSchedule4[[#This Row],[PMT NO]]&lt;&gt;"",PaymentSchedule4[[#This Row],[TOTAL PAYMENT]]-PaymentSchedule4[[#This Row],[INTEREST]],"")</f>
        <v>320.1294348446234</v>
      </c>
      <c r="I145" s="32">
        <f>IF(PaymentSchedule4[[#This Row],[PMT NO]]&lt;&gt;"",PaymentSchedule4[[#This Row],[BEGINNING BALANCE]]*(InterestRate/PaymentsPerYear),"")</f>
        <v>439.89852989419757</v>
      </c>
      <c r="J14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116986.14520360806</v>
      </c>
      <c r="K145" s="32">
        <f>IF(PaymentSchedule4[[#This Row],[PMT NO]]&lt;&gt;"",SUM(INDEX(PaymentSchedule4[INTEREST],1,1):PaymentSchedule4[[#This Row],[INTEREST]]),"")</f>
        <v>65789.780619654703</v>
      </c>
    </row>
    <row r="146" spans="2:11" x14ac:dyDescent="0.3">
      <c r="B146" s="30">
        <f>IF(LoanIsGood,IF(ROW()-ROW(PaymentSchedule4[[#Headers],[PMT NO]])&gt;ScheduledNumberOfPayments,"",ROW()-ROW(PaymentSchedule4[[#Headers],[PMT NO]])),"")</f>
        <v>131</v>
      </c>
      <c r="C146" s="31">
        <f>IF(PaymentSchedule4[[#This Row],[PMT NO]]&lt;&gt;"",EOMONTH(LoanStartDate,ROW(PaymentSchedule4[[#This Row],[PMT NO]])-ROW(PaymentSchedule4[[#Headers],[PMT NO]])-2)+DAY(LoanStartDate),"")</f>
        <v>47331</v>
      </c>
      <c r="D146" s="32">
        <f>IF(PaymentSchedule4[[#This Row],[PMT NO]]&lt;&gt;"",IF(ROW()-ROW(PaymentSchedule4[[#Headers],[BEGINNING BALANCE]])=1,LoanAmount,INDEX(PaymentSchedule4[ENDING BALANCE],ROW()-ROW(PaymentSchedule4[[#Headers],[BEGINNING BALANCE]])-1)),"")</f>
        <v>116986.14520360806</v>
      </c>
      <c r="E146" s="32">
        <f>IF(PaymentSchedule4[[#This Row],[PMT NO]]&lt;&gt;"",ScheduledPayment,"")</f>
        <v>760.02796473882097</v>
      </c>
      <c r="F14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4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46" s="32">
        <f>IF(PaymentSchedule4[[#This Row],[PMT NO]]&lt;&gt;"",PaymentSchedule4[[#This Row],[TOTAL PAYMENT]]-PaymentSchedule4[[#This Row],[INTEREST]],"")</f>
        <v>321.32992022529078</v>
      </c>
      <c r="I146" s="32">
        <f>IF(PaymentSchedule4[[#This Row],[PMT NO]]&lt;&gt;"",PaymentSchedule4[[#This Row],[BEGINNING BALANCE]]*(InterestRate/PaymentsPerYear),"")</f>
        <v>438.69804451353019</v>
      </c>
      <c r="J14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116664.81528338276</v>
      </c>
      <c r="K146" s="32">
        <f>IF(PaymentSchedule4[[#This Row],[PMT NO]]&lt;&gt;"",SUM(INDEX(PaymentSchedule4[INTEREST],1,1):PaymentSchedule4[[#This Row],[INTEREST]]),"")</f>
        <v>66228.478664168229</v>
      </c>
    </row>
    <row r="147" spans="2:11" x14ac:dyDescent="0.3">
      <c r="B147" s="30">
        <f>IF(LoanIsGood,IF(ROW()-ROW(PaymentSchedule4[[#Headers],[PMT NO]])&gt;ScheduledNumberOfPayments,"",ROW()-ROW(PaymentSchedule4[[#Headers],[PMT NO]])),"")</f>
        <v>132</v>
      </c>
      <c r="C147" s="31">
        <f>IF(PaymentSchedule4[[#This Row],[PMT NO]]&lt;&gt;"",EOMONTH(LoanStartDate,ROW(PaymentSchedule4[[#This Row],[PMT NO]])-ROW(PaymentSchedule4[[#Headers],[PMT NO]])-2)+DAY(LoanStartDate),"")</f>
        <v>47362</v>
      </c>
      <c r="D147" s="32">
        <f>IF(PaymentSchedule4[[#This Row],[PMT NO]]&lt;&gt;"",IF(ROW()-ROW(PaymentSchedule4[[#Headers],[BEGINNING BALANCE]])=1,LoanAmount,INDEX(PaymentSchedule4[ENDING BALANCE],ROW()-ROW(PaymentSchedule4[[#Headers],[BEGINNING BALANCE]])-1)),"")</f>
        <v>116664.81528338276</v>
      </c>
      <c r="E147" s="32">
        <f>IF(PaymentSchedule4[[#This Row],[PMT NO]]&lt;&gt;"",ScheduledPayment,"")</f>
        <v>760.02796473882097</v>
      </c>
      <c r="F14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4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47" s="32">
        <f>IF(PaymentSchedule4[[#This Row],[PMT NO]]&lt;&gt;"",PaymentSchedule4[[#This Row],[TOTAL PAYMENT]]-PaymentSchedule4[[#This Row],[INTEREST]],"")</f>
        <v>322.53490742613565</v>
      </c>
      <c r="I147" s="32">
        <f>IF(PaymentSchedule4[[#This Row],[PMT NO]]&lt;&gt;"",PaymentSchedule4[[#This Row],[BEGINNING BALANCE]]*(InterestRate/PaymentsPerYear),"")</f>
        <v>437.49305731268532</v>
      </c>
      <c r="J14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116342.28037595663</v>
      </c>
      <c r="K147" s="32">
        <f>IF(PaymentSchedule4[[#This Row],[PMT NO]]&lt;&gt;"",SUM(INDEX(PaymentSchedule4[INTEREST],1,1):PaymentSchedule4[[#This Row],[INTEREST]]),"")</f>
        <v>66665.971721480921</v>
      </c>
    </row>
    <row r="148" spans="2:11" x14ac:dyDescent="0.3">
      <c r="B148" s="30">
        <f>IF(LoanIsGood,IF(ROW()-ROW(PaymentSchedule4[[#Headers],[PMT NO]])&gt;ScheduledNumberOfPayments,"",ROW()-ROW(PaymentSchedule4[[#Headers],[PMT NO]])),"")</f>
        <v>133</v>
      </c>
      <c r="C148" s="31">
        <f>IF(PaymentSchedule4[[#This Row],[PMT NO]]&lt;&gt;"",EOMONTH(LoanStartDate,ROW(PaymentSchedule4[[#This Row],[PMT NO]])-ROW(PaymentSchedule4[[#Headers],[PMT NO]])-2)+DAY(LoanStartDate),"")</f>
        <v>47392</v>
      </c>
      <c r="D148" s="32">
        <f>IF(PaymentSchedule4[[#This Row],[PMT NO]]&lt;&gt;"",IF(ROW()-ROW(PaymentSchedule4[[#Headers],[BEGINNING BALANCE]])=1,LoanAmount,INDEX(PaymentSchedule4[ENDING BALANCE],ROW()-ROW(PaymentSchedule4[[#Headers],[BEGINNING BALANCE]])-1)),"")</f>
        <v>116342.28037595663</v>
      </c>
      <c r="E148" s="32">
        <f>IF(PaymentSchedule4[[#This Row],[PMT NO]]&lt;&gt;"",ScheduledPayment,"")</f>
        <v>760.02796473882097</v>
      </c>
      <c r="F14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4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48" s="32">
        <f>IF(PaymentSchedule4[[#This Row],[PMT NO]]&lt;&gt;"",PaymentSchedule4[[#This Row],[TOTAL PAYMENT]]-PaymentSchedule4[[#This Row],[INTEREST]],"")</f>
        <v>323.74441332898363</v>
      </c>
      <c r="I148" s="32">
        <f>IF(PaymentSchedule4[[#This Row],[PMT NO]]&lt;&gt;"",PaymentSchedule4[[#This Row],[BEGINNING BALANCE]]*(InterestRate/PaymentsPerYear),"")</f>
        <v>436.28355140983734</v>
      </c>
      <c r="J14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116018.53596262765</v>
      </c>
      <c r="K148" s="32">
        <f>IF(PaymentSchedule4[[#This Row],[PMT NO]]&lt;&gt;"",SUM(INDEX(PaymentSchedule4[INTEREST],1,1):PaymentSchedule4[[#This Row],[INTEREST]]),"")</f>
        <v>67102.255272890761</v>
      </c>
    </row>
    <row r="149" spans="2:11" x14ac:dyDescent="0.3">
      <c r="B149" s="30">
        <f>IF(LoanIsGood,IF(ROW()-ROW(PaymentSchedule4[[#Headers],[PMT NO]])&gt;ScheduledNumberOfPayments,"",ROW()-ROW(PaymentSchedule4[[#Headers],[PMT NO]])),"")</f>
        <v>134</v>
      </c>
      <c r="C149" s="31">
        <f>IF(PaymentSchedule4[[#This Row],[PMT NO]]&lt;&gt;"",EOMONTH(LoanStartDate,ROW(PaymentSchedule4[[#This Row],[PMT NO]])-ROW(PaymentSchedule4[[#Headers],[PMT NO]])-2)+DAY(LoanStartDate),"")</f>
        <v>47423</v>
      </c>
      <c r="D149" s="32">
        <f>IF(PaymentSchedule4[[#This Row],[PMT NO]]&lt;&gt;"",IF(ROW()-ROW(PaymentSchedule4[[#Headers],[BEGINNING BALANCE]])=1,LoanAmount,INDEX(PaymentSchedule4[ENDING BALANCE],ROW()-ROW(PaymentSchedule4[[#Headers],[BEGINNING BALANCE]])-1)),"")</f>
        <v>116018.53596262765</v>
      </c>
      <c r="E149" s="32">
        <f>IF(PaymentSchedule4[[#This Row],[PMT NO]]&lt;&gt;"",ScheduledPayment,"")</f>
        <v>760.02796473882097</v>
      </c>
      <c r="F14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4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49" s="32">
        <f>IF(PaymentSchedule4[[#This Row],[PMT NO]]&lt;&gt;"",PaymentSchedule4[[#This Row],[TOTAL PAYMENT]]-PaymentSchedule4[[#This Row],[INTEREST]],"")</f>
        <v>324.9584548789673</v>
      </c>
      <c r="I149" s="32">
        <f>IF(PaymentSchedule4[[#This Row],[PMT NO]]&lt;&gt;"",PaymentSchedule4[[#This Row],[BEGINNING BALANCE]]*(InterestRate/PaymentsPerYear),"")</f>
        <v>435.06950985985367</v>
      </c>
      <c r="J14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115693.57750774868</v>
      </c>
      <c r="K149" s="32">
        <f>IF(PaymentSchedule4[[#This Row],[PMT NO]]&lt;&gt;"",SUM(INDEX(PaymentSchedule4[INTEREST],1,1):PaymentSchedule4[[#This Row],[INTEREST]]),"")</f>
        <v>67537.324782750613</v>
      </c>
    </row>
    <row r="150" spans="2:11" x14ac:dyDescent="0.3">
      <c r="B150" s="30">
        <f>IF(LoanIsGood,IF(ROW()-ROW(PaymentSchedule4[[#Headers],[PMT NO]])&gt;ScheduledNumberOfPayments,"",ROW()-ROW(PaymentSchedule4[[#Headers],[PMT NO]])),"")</f>
        <v>135</v>
      </c>
      <c r="C150" s="31">
        <f>IF(PaymentSchedule4[[#This Row],[PMT NO]]&lt;&gt;"",EOMONTH(LoanStartDate,ROW(PaymentSchedule4[[#This Row],[PMT NO]])-ROW(PaymentSchedule4[[#Headers],[PMT NO]])-2)+DAY(LoanStartDate),"")</f>
        <v>47453</v>
      </c>
      <c r="D150" s="32">
        <f>IF(PaymentSchedule4[[#This Row],[PMT NO]]&lt;&gt;"",IF(ROW()-ROW(PaymentSchedule4[[#Headers],[BEGINNING BALANCE]])=1,LoanAmount,INDEX(PaymentSchedule4[ENDING BALANCE],ROW()-ROW(PaymentSchedule4[[#Headers],[BEGINNING BALANCE]])-1)),"")</f>
        <v>115693.57750774868</v>
      </c>
      <c r="E150" s="32">
        <f>IF(PaymentSchedule4[[#This Row],[PMT NO]]&lt;&gt;"",ScheduledPayment,"")</f>
        <v>760.02796473882097</v>
      </c>
      <c r="F15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5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50" s="32">
        <f>IF(PaymentSchedule4[[#This Row],[PMT NO]]&lt;&gt;"",PaymentSchedule4[[#This Row],[TOTAL PAYMENT]]-PaymentSchedule4[[#This Row],[INTEREST]],"")</f>
        <v>326.17704908476344</v>
      </c>
      <c r="I150" s="32">
        <f>IF(PaymentSchedule4[[#This Row],[PMT NO]]&lt;&gt;"",PaymentSchedule4[[#This Row],[BEGINNING BALANCE]]*(InterestRate/PaymentsPerYear),"")</f>
        <v>433.85091565405753</v>
      </c>
      <c r="J15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115367.40045866391</v>
      </c>
      <c r="K150" s="32">
        <f>IF(PaymentSchedule4[[#This Row],[PMT NO]]&lt;&gt;"",SUM(INDEX(PaymentSchedule4[INTEREST],1,1):PaymentSchedule4[[#This Row],[INTEREST]]),"")</f>
        <v>67971.175698404666</v>
      </c>
    </row>
    <row r="151" spans="2:11" x14ac:dyDescent="0.3">
      <c r="B151" s="30">
        <f>IF(LoanIsGood,IF(ROW()-ROW(PaymentSchedule4[[#Headers],[PMT NO]])&gt;ScheduledNumberOfPayments,"",ROW()-ROW(PaymentSchedule4[[#Headers],[PMT NO]])),"")</f>
        <v>136</v>
      </c>
      <c r="C151" s="31">
        <f>IF(PaymentSchedule4[[#This Row],[PMT NO]]&lt;&gt;"",EOMONTH(LoanStartDate,ROW(PaymentSchedule4[[#This Row],[PMT NO]])-ROW(PaymentSchedule4[[#Headers],[PMT NO]])-2)+DAY(LoanStartDate),"")</f>
        <v>47484</v>
      </c>
      <c r="D151" s="32">
        <f>IF(PaymentSchedule4[[#This Row],[PMT NO]]&lt;&gt;"",IF(ROW()-ROW(PaymentSchedule4[[#Headers],[BEGINNING BALANCE]])=1,LoanAmount,INDEX(PaymentSchedule4[ENDING BALANCE],ROW()-ROW(PaymentSchedule4[[#Headers],[BEGINNING BALANCE]])-1)),"")</f>
        <v>115367.40045866391</v>
      </c>
      <c r="E151" s="32">
        <f>IF(PaymentSchedule4[[#This Row],[PMT NO]]&lt;&gt;"",ScheduledPayment,"")</f>
        <v>760.02796473882097</v>
      </c>
      <c r="F15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5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51" s="32">
        <f>IF(PaymentSchedule4[[#This Row],[PMT NO]]&lt;&gt;"",PaymentSchedule4[[#This Row],[TOTAL PAYMENT]]-PaymentSchedule4[[#This Row],[INTEREST]],"")</f>
        <v>327.40021301883132</v>
      </c>
      <c r="I151" s="32">
        <f>IF(PaymentSchedule4[[#This Row],[PMT NO]]&lt;&gt;"",PaymentSchedule4[[#This Row],[BEGINNING BALANCE]]*(InterestRate/PaymentsPerYear),"")</f>
        <v>432.62775171998965</v>
      </c>
      <c r="J15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115040.00024564507</v>
      </c>
      <c r="K151" s="32">
        <f>IF(PaymentSchedule4[[#This Row],[PMT NO]]&lt;&gt;"",SUM(INDEX(PaymentSchedule4[INTEREST],1,1):PaymentSchedule4[[#This Row],[INTEREST]]),"")</f>
        <v>68403.803450124658</v>
      </c>
    </row>
    <row r="152" spans="2:11" x14ac:dyDescent="0.3">
      <c r="B152" s="30">
        <f>IF(LoanIsGood,IF(ROW()-ROW(PaymentSchedule4[[#Headers],[PMT NO]])&gt;ScheduledNumberOfPayments,"",ROW()-ROW(PaymentSchedule4[[#Headers],[PMT NO]])),"")</f>
        <v>137</v>
      </c>
      <c r="C152" s="31">
        <f>IF(PaymentSchedule4[[#This Row],[PMT NO]]&lt;&gt;"",EOMONTH(LoanStartDate,ROW(PaymentSchedule4[[#This Row],[PMT NO]])-ROW(PaymentSchedule4[[#Headers],[PMT NO]])-2)+DAY(LoanStartDate),"")</f>
        <v>47515</v>
      </c>
      <c r="D152" s="32">
        <f>IF(PaymentSchedule4[[#This Row],[PMT NO]]&lt;&gt;"",IF(ROW()-ROW(PaymentSchedule4[[#Headers],[BEGINNING BALANCE]])=1,LoanAmount,INDEX(PaymentSchedule4[ENDING BALANCE],ROW()-ROW(PaymentSchedule4[[#Headers],[BEGINNING BALANCE]])-1)),"")</f>
        <v>115040.00024564507</v>
      </c>
      <c r="E152" s="32">
        <f>IF(PaymentSchedule4[[#This Row],[PMT NO]]&lt;&gt;"",ScheduledPayment,"")</f>
        <v>760.02796473882097</v>
      </c>
      <c r="F15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5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52" s="32">
        <f>IF(PaymentSchedule4[[#This Row],[PMT NO]]&lt;&gt;"",PaymentSchedule4[[#This Row],[TOTAL PAYMENT]]-PaymentSchedule4[[#This Row],[INTEREST]],"")</f>
        <v>328.62796381765196</v>
      </c>
      <c r="I152" s="32">
        <f>IF(PaymentSchedule4[[#This Row],[PMT NO]]&lt;&gt;"",PaymentSchedule4[[#This Row],[BEGINNING BALANCE]]*(InterestRate/PaymentsPerYear),"")</f>
        <v>431.40000092116901</v>
      </c>
      <c r="J15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114711.37228182743</v>
      </c>
      <c r="K152" s="32">
        <f>IF(PaymentSchedule4[[#This Row],[PMT NO]]&lt;&gt;"",SUM(INDEX(PaymentSchedule4[INTEREST],1,1):PaymentSchedule4[[#This Row],[INTEREST]]),"")</f>
        <v>68835.203451045832</v>
      </c>
    </row>
    <row r="153" spans="2:11" x14ac:dyDescent="0.3">
      <c r="B153" s="30">
        <f>IF(LoanIsGood,IF(ROW()-ROW(PaymentSchedule4[[#Headers],[PMT NO]])&gt;ScheduledNumberOfPayments,"",ROW()-ROW(PaymentSchedule4[[#Headers],[PMT NO]])),"")</f>
        <v>138</v>
      </c>
      <c r="C153" s="31">
        <f>IF(PaymentSchedule4[[#This Row],[PMT NO]]&lt;&gt;"",EOMONTH(LoanStartDate,ROW(PaymentSchedule4[[#This Row],[PMT NO]])-ROW(PaymentSchedule4[[#Headers],[PMT NO]])-2)+DAY(LoanStartDate),"")</f>
        <v>47543</v>
      </c>
      <c r="D153" s="32">
        <f>IF(PaymentSchedule4[[#This Row],[PMT NO]]&lt;&gt;"",IF(ROW()-ROW(PaymentSchedule4[[#Headers],[BEGINNING BALANCE]])=1,LoanAmount,INDEX(PaymentSchedule4[ENDING BALANCE],ROW()-ROW(PaymentSchedule4[[#Headers],[BEGINNING BALANCE]])-1)),"")</f>
        <v>114711.37228182743</v>
      </c>
      <c r="E153" s="32">
        <f>IF(PaymentSchedule4[[#This Row],[PMT NO]]&lt;&gt;"",ScheduledPayment,"")</f>
        <v>760.02796473882097</v>
      </c>
      <c r="F15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5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53" s="32">
        <f>IF(PaymentSchedule4[[#This Row],[PMT NO]]&lt;&gt;"",PaymentSchedule4[[#This Row],[TOTAL PAYMENT]]-PaymentSchedule4[[#This Row],[INTEREST]],"")</f>
        <v>329.86031868196812</v>
      </c>
      <c r="I153" s="32">
        <f>IF(PaymentSchedule4[[#This Row],[PMT NO]]&lt;&gt;"",PaymentSchedule4[[#This Row],[BEGINNING BALANCE]]*(InterestRate/PaymentsPerYear),"")</f>
        <v>430.16764605685285</v>
      </c>
      <c r="J15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114381.51196314546</v>
      </c>
      <c r="K153" s="32">
        <f>IF(PaymentSchedule4[[#This Row],[PMT NO]]&lt;&gt;"",SUM(INDEX(PaymentSchedule4[INTEREST],1,1):PaymentSchedule4[[#This Row],[INTEREST]]),"")</f>
        <v>69265.371097102689</v>
      </c>
    </row>
    <row r="154" spans="2:11" x14ac:dyDescent="0.3">
      <c r="B154" s="30">
        <f>IF(LoanIsGood,IF(ROW()-ROW(PaymentSchedule4[[#Headers],[PMT NO]])&gt;ScheduledNumberOfPayments,"",ROW()-ROW(PaymentSchedule4[[#Headers],[PMT NO]])),"")</f>
        <v>139</v>
      </c>
      <c r="C154" s="31">
        <f>IF(PaymentSchedule4[[#This Row],[PMT NO]]&lt;&gt;"",EOMONTH(LoanStartDate,ROW(PaymentSchedule4[[#This Row],[PMT NO]])-ROW(PaymentSchedule4[[#Headers],[PMT NO]])-2)+DAY(LoanStartDate),"")</f>
        <v>47574</v>
      </c>
      <c r="D154" s="32">
        <f>IF(PaymentSchedule4[[#This Row],[PMT NO]]&lt;&gt;"",IF(ROW()-ROW(PaymentSchedule4[[#Headers],[BEGINNING BALANCE]])=1,LoanAmount,INDEX(PaymentSchedule4[ENDING BALANCE],ROW()-ROW(PaymentSchedule4[[#Headers],[BEGINNING BALANCE]])-1)),"")</f>
        <v>114381.51196314546</v>
      </c>
      <c r="E154" s="32">
        <f>IF(PaymentSchedule4[[#This Row],[PMT NO]]&lt;&gt;"",ScheduledPayment,"")</f>
        <v>760.02796473882097</v>
      </c>
      <c r="F15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5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54" s="32">
        <f>IF(PaymentSchedule4[[#This Row],[PMT NO]]&lt;&gt;"",PaymentSchedule4[[#This Row],[TOTAL PAYMENT]]-PaymentSchedule4[[#This Row],[INTEREST]],"")</f>
        <v>331.09729487702549</v>
      </c>
      <c r="I154" s="32">
        <f>IF(PaymentSchedule4[[#This Row],[PMT NO]]&lt;&gt;"",PaymentSchedule4[[#This Row],[BEGINNING BALANCE]]*(InterestRate/PaymentsPerYear),"")</f>
        <v>428.93066986179548</v>
      </c>
      <c r="J15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114050.41466826844</v>
      </c>
      <c r="K154" s="32">
        <f>IF(PaymentSchedule4[[#This Row],[PMT NO]]&lt;&gt;"",SUM(INDEX(PaymentSchedule4[INTEREST],1,1):PaymentSchedule4[[#This Row],[INTEREST]]),"")</f>
        <v>69694.301766964491</v>
      </c>
    </row>
    <row r="155" spans="2:11" x14ac:dyDescent="0.3">
      <c r="B155" s="30">
        <f>IF(LoanIsGood,IF(ROW()-ROW(PaymentSchedule4[[#Headers],[PMT NO]])&gt;ScheduledNumberOfPayments,"",ROW()-ROW(PaymentSchedule4[[#Headers],[PMT NO]])),"")</f>
        <v>140</v>
      </c>
      <c r="C155" s="31">
        <f>IF(PaymentSchedule4[[#This Row],[PMT NO]]&lt;&gt;"",EOMONTH(LoanStartDate,ROW(PaymentSchedule4[[#This Row],[PMT NO]])-ROW(PaymentSchedule4[[#Headers],[PMT NO]])-2)+DAY(LoanStartDate),"")</f>
        <v>47604</v>
      </c>
      <c r="D155" s="32">
        <f>IF(PaymentSchedule4[[#This Row],[PMT NO]]&lt;&gt;"",IF(ROW()-ROW(PaymentSchedule4[[#Headers],[BEGINNING BALANCE]])=1,LoanAmount,INDEX(PaymentSchedule4[ENDING BALANCE],ROW()-ROW(PaymentSchedule4[[#Headers],[BEGINNING BALANCE]])-1)),"")</f>
        <v>114050.41466826844</v>
      </c>
      <c r="E155" s="32">
        <f>IF(PaymentSchedule4[[#This Row],[PMT NO]]&lt;&gt;"",ScheduledPayment,"")</f>
        <v>760.02796473882097</v>
      </c>
      <c r="F15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5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55" s="32">
        <f>IF(PaymentSchedule4[[#This Row],[PMT NO]]&lt;&gt;"",PaymentSchedule4[[#This Row],[TOTAL PAYMENT]]-PaymentSchedule4[[#This Row],[INTEREST]],"")</f>
        <v>332.33890973281433</v>
      </c>
      <c r="I155" s="32">
        <f>IF(PaymentSchedule4[[#This Row],[PMT NO]]&lt;&gt;"",PaymentSchedule4[[#This Row],[BEGINNING BALANCE]]*(InterestRate/PaymentsPerYear),"")</f>
        <v>427.68905500600664</v>
      </c>
      <c r="J15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113718.07575853562</v>
      </c>
      <c r="K155" s="32">
        <f>IF(PaymentSchedule4[[#This Row],[PMT NO]]&lt;&gt;"",SUM(INDEX(PaymentSchedule4[INTEREST],1,1):PaymentSchedule4[[#This Row],[INTEREST]]),"")</f>
        <v>70121.990821970496</v>
      </c>
    </row>
    <row r="156" spans="2:11" x14ac:dyDescent="0.3">
      <c r="B156" s="30">
        <f>IF(LoanIsGood,IF(ROW()-ROW(PaymentSchedule4[[#Headers],[PMT NO]])&gt;ScheduledNumberOfPayments,"",ROW()-ROW(PaymentSchedule4[[#Headers],[PMT NO]])),"")</f>
        <v>141</v>
      </c>
      <c r="C156" s="31">
        <f>IF(PaymentSchedule4[[#This Row],[PMT NO]]&lt;&gt;"",EOMONTH(LoanStartDate,ROW(PaymentSchedule4[[#This Row],[PMT NO]])-ROW(PaymentSchedule4[[#Headers],[PMT NO]])-2)+DAY(LoanStartDate),"")</f>
        <v>47635</v>
      </c>
      <c r="D156" s="32">
        <f>IF(PaymentSchedule4[[#This Row],[PMT NO]]&lt;&gt;"",IF(ROW()-ROW(PaymentSchedule4[[#Headers],[BEGINNING BALANCE]])=1,LoanAmount,INDEX(PaymentSchedule4[ENDING BALANCE],ROW()-ROW(PaymentSchedule4[[#Headers],[BEGINNING BALANCE]])-1)),"")</f>
        <v>113718.07575853562</v>
      </c>
      <c r="E156" s="32">
        <f>IF(PaymentSchedule4[[#This Row],[PMT NO]]&lt;&gt;"",ScheduledPayment,"")</f>
        <v>760.02796473882097</v>
      </c>
      <c r="F15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5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56" s="32">
        <f>IF(PaymentSchedule4[[#This Row],[PMT NO]]&lt;&gt;"",PaymentSchedule4[[#This Row],[TOTAL PAYMENT]]-PaymentSchedule4[[#This Row],[INTEREST]],"")</f>
        <v>333.5851806443124</v>
      </c>
      <c r="I156" s="32">
        <f>IF(PaymentSchedule4[[#This Row],[PMT NO]]&lt;&gt;"",PaymentSchedule4[[#This Row],[BEGINNING BALANCE]]*(InterestRate/PaymentsPerYear),"")</f>
        <v>426.44278409450857</v>
      </c>
      <c r="J15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113384.49057789131</v>
      </c>
      <c r="K156" s="32">
        <f>IF(PaymentSchedule4[[#This Row],[PMT NO]]&lt;&gt;"",SUM(INDEX(PaymentSchedule4[INTEREST],1,1):PaymentSchedule4[[#This Row],[INTEREST]]),"")</f>
        <v>70548.433606065009</v>
      </c>
    </row>
    <row r="157" spans="2:11" x14ac:dyDescent="0.3">
      <c r="B157" s="30">
        <f>IF(LoanIsGood,IF(ROW()-ROW(PaymentSchedule4[[#Headers],[PMT NO]])&gt;ScheduledNumberOfPayments,"",ROW()-ROW(PaymentSchedule4[[#Headers],[PMT NO]])),"")</f>
        <v>142</v>
      </c>
      <c r="C157" s="31">
        <f>IF(PaymentSchedule4[[#This Row],[PMT NO]]&lt;&gt;"",EOMONTH(LoanStartDate,ROW(PaymentSchedule4[[#This Row],[PMT NO]])-ROW(PaymentSchedule4[[#Headers],[PMT NO]])-2)+DAY(LoanStartDate),"")</f>
        <v>47665</v>
      </c>
      <c r="D157" s="32">
        <f>IF(PaymentSchedule4[[#This Row],[PMT NO]]&lt;&gt;"",IF(ROW()-ROW(PaymentSchedule4[[#Headers],[BEGINNING BALANCE]])=1,LoanAmount,INDEX(PaymentSchedule4[ENDING BALANCE],ROW()-ROW(PaymentSchedule4[[#Headers],[BEGINNING BALANCE]])-1)),"")</f>
        <v>113384.49057789131</v>
      </c>
      <c r="E157" s="32">
        <f>IF(PaymentSchedule4[[#This Row],[PMT NO]]&lt;&gt;"",ScheduledPayment,"")</f>
        <v>760.02796473882097</v>
      </c>
      <c r="F15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5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57" s="32">
        <f>IF(PaymentSchedule4[[#This Row],[PMT NO]]&lt;&gt;"",PaymentSchedule4[[#This Row],[TOTAL PAYMENT]]-PaymentSchedule4[[#This Row],[INTEREST]],"")</f>
        <v>334.83612507172859</v>
      </c>
      <c r="I157" s="32">
        <f>IF(PaymentSchedule4[[#This Row],[PMT NO]]&lt;&gt;"",PaymentSchedule4[[#This Row],[BEGINNING BALANCE]]*(InterestRate/PaymentsPerYear),"")</f>
        <v>425.19183966709238</v>
      </c>
      <c r="J15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113049.65445281958</v>
      </c>
      <c r="K157" s="32">
        <f>IF(PaymentSchedule4[[#This Row],[PMT NO]]&lt;&gt;"",SUM(INDEX(PaymentSchedule4[INTEREST],1,1):PaymentSchedule4[[#This Row],[INTEREST]]),"")</f>
        <v>70973.625445732105</v>
      </c>
    </row>
    <row r="158" spans="2:11" x14ac:dyDescent="0.3">
      <c r="B158" s="30">
        <f>IF(LoanIsGood,IF(ROW()-ROW(PaymentSchedule4[[#Headers],[PMT NO]])&gt;ScheduledNumberOfPayments,"",ROW()-ROW(PaymentSchedule4[[#Headers],[PMT NO]])),"")</f>
        <v>143</v>
      </c>
      <c r="C158" s="31">
        <f>IF(PaymentSchedule4[[#This Row],[PMT NO]]&lt;&gt;"",EOMONTH(LoanStartDate,ROW(PaymentSchedule4[[#This Row],[PMT NO]])-ROW(PaymentSchedule4[[#Headers],[PMT NO]])-2)+DAY(LoanStartDate),"")</f>
        <v>47696</v>
      </c>
      <c r="D158" s="32">
        <f>IF(PaymentSchedule4[[#This Row],[PMT NO]]&lt;&gt;"",IF(ROW()-ROW(PaymentSchedule4[[#Headers],[BEGINNING BALANCE]])=1,LoanAmount,INDEX(PaymentSchedule4[ENDING BALANCE],ROW()-ROW(PaymentSchedule4[[#Headers],[BEGINNING BALANCE]])-1)),"")</f>
        <v>113049.65445281958</v>
      </c>
      <c r="E158" s="32">
        <f>IF(PaymentSchedule4[[#This Row],[PMT NO]]&lt;&gt;"",ScheduledPayment,"")</f>
        <v>760.02796473882097</v>
      </c>
      <c r="F15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5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58" s="32">
        <f>IF(PaymentSchedule4[[#This Row],[PMT NO]]&lt;&gt;"",PaymentSchedule4[[#This Row],[TOTAL PAYMENT]]-PaymentSchedule4[[#This Row],[INTEREST]],"")</f>
        <v>336.09176054074754</v>
      </c>
      <c r="I158" s="32">
        <f>IF(PaymentSchedule4[[#This Row],[PMT NO]]&lt;&gt;"",PaymentSchedule4[[#This Row],[BEGINNING BALANCE]]*(InterestRate/PaymentsPerYear),"")</f>
        <v>423.93620419807343</v>
      </c>
      <c r="J15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112713.56269227884</v>
      </c>
      <c r="K158" s="32">
        <f>IF(PaymentSchedule4[[#This Row],[PMT NO]]&lt;&gt;"",SUM(INDEX(PaymentSchedule4[INTEREST],1,1):PaymentSchedule4[[#This Row],[INTEREST]]),"")</f>
        <v>71397.561649930183</v>
      </c>
    </row>
    <row r="159" spans="2:11" x14ac:dyDescent="0.3">
      <c r="B159" s="30">
        <f>IF(LoanIsGood,IF(ROW()-ROW(PaymentSchedule4[[#Headers],[PMT NO]])&gt;ScheduledNumberOfPayments,"",ROW()-ROW(PaymentSchedule4[[#Headers],[PMT NO]])),"")</f>
        <v>144</v>
      </c>
      <c r="C159" s="31">
        <f>IF(PaymentSchedule4[[#This Row],[PMT NO]]&lt;&gt;"",EOMONTH(LoanStartDate,ROW(PaymentSchedule4[[#This Row],[PMT NO]])-ROW(PaymentSchedule4[[#Headers],[PMT NO]])-2)+DAY(LoanStartDate),"")</f>
        <v>47727</v>
      </c>
      <c r="D159" s="32">
        <f>IF(PaymentSchedule4[[#This Row],[PMT NO]]&lt;&gt;"",IF(ROW()-ROW(PaymentSchedule4[[#Headers],[BEGINNING BALANCE]])=1,LoanAmount,INDEX(PaymentSchedule4[ENDING BALANCE],ROW()-ROW(PaymentSchedule4[[#Headers],[BEGINNING BALANCE]])-1)),"")</f>
        <v>112713.56269227884</v>
      </c>
      <c r="E159" s="32">
        <f>IF(PaymentSchedule4[[#This Row],[PMT NO]]&lt;&gt;"",ScheduledPayment,"")</f>
        <v>760.02796473882097</v>
      </c>
      <c r="F15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5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59" s="32">
        <f>IF(PaymentSchedule4[[#This Row],[PMT NO]]&lt;&gt;"",PaymentSchedule4[[#This Row],[TOTAL PAYMENT]]-PaymentSchedule4[[#This Row],[INTEREST]],"")</f>
        <v>337.35210464277537</v>
      </c>
      <c r="I159" s="32">
        <f>IF(PaymentSchedule4[[#This Row],[PMT NO]]&lt;&gt;"",PaymentSchedule4[[#This Row],[BEGINNING BALANCE]]*(InterestRate/PaymentsPerYear),"")</f>
        <v>422.6758600960456</v>
      </c>
      <c r="J15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112376.21058763606</v>
      </c>
      <c r="K159" s="32">
        <f>IF(PaymentSchedule4[[#This Row],[PMT NO]]&lt;&gt;"",SUM(INDEX(PaymentSchedule4[INTEREST],1,1):PaymentSchedule4[[#This Row],[INTEREST]]),"")</f>
        <v>71820.237510026229</v>
      </c>
    </row>
    <row r="160" spans="2:11" x14ac:dyDescent="0.3">
      <c r="B160" s="30">
        <f>IF(LoanIsGood,IF(ROW()-ROW(PaymentSchedule4[[#Headers],[PMT NO]])&gt;ScheduledNumberOfPayments,"",ROW()-ROW(PaymentSchedule4[[#Headers],[PMT NO]])),"")</f>
        <v>145</v>
      </c>
      <c r="C160" s="31">
        <f>IF(PaymentSchedule4[[#This Row],[PMT NO]]&lt;&gt;"",EOMONTH(LoanStartDate,ROW(PaymentSchedule4[[#This Row],[PMT NO]])-ROW(PaymentSchedule4[[#Headers],[PMT NO]])-2)+DAY(LoanStartDate),"")</f>
        <v>47757</v>
      </c>
      <c r="D160" s="32">
        <f>IF(PaymentSchedule4[[#This Row],[PMT NO]]&lt;&gt;"",IF(ROW()-ROW(PaymentSchedule4[[#Headers],[BEGINNING BALANCE]])=1,LoanAmount,INDEX(PaymentSchedule4[ENDING BALANCE],ROW()-ROW(PaymentSchedule4[[#Headers],[BEGINNING BALANCE]])-1)),"")</f>
        <v>112376.21058763606</v>
      </c>
      <c r="E160" s="32">
        <f>IF(PaymentSchedule4[[#This Row],[PMT NO]]&lt;&gt;"",ScheduledPayment,"")</f>
        <v>760.02796473882097</v>
      </c>
      <c r="F16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6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60" s="32">
        <f>IF(PaymentSchedule4[[#This Row],[PMT NO]]&lt;&gt;"",PaymentSchedule4[[#This Row],[TOTAL PAYMENT]]-PaymentSchedule4[[#This Row],[INTEREST]],"")</f>
        <v>338.61717503518577</v>
      </c>
      <c r="I160" s="32">
        <f>IF(PaymentSchedule4[[#This Row],[PMT NO]]&lt;&gt;"",PaymentSchedule4[[#This Row],[BEGINNING BALANCE]]*(InterestRate/PaymentsPerYear),"")</f>
        <v>421.4107897036352</v>
      </c>
      <c r="J16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112037.59341260088</v>
      </c>
      <c r="K160" s="32">
        <f>IF(PaymentSchedule4[[#This Row],[PMT NO]]&lt;&gt;"",SUM(INDEX(PaymentSchedule4[INTEREST],1,1):PaymentSchedule4[[#This Row],[INTEREST]]),"")</f>
        <v>72241.648299729859</v>
      </c>
    </row>
    <row r="161" spans="2:11" x14ac:dyDescent="0.3">
      <c r="B161" s="30">
        <f>IF(LoanIsGood,IF(ROW()-ROW(PaymentSchedule4[[#Headers],[PMT NO]])&gt;ScheduledNumberOfPayments,"",ROW()-ROW(PaymentSchedule4[[#Headers],[PMT NO]])),"")</f>
        <v>146</v>
      </c>
      <c r="C161" s="31">
        <f>IF(PaymentSchedule4[[#This Row],[PMT NO]]&lt;&gt;"",EOMONTH(LoanStartDate,ROW(PaymentSchedule4[[#This Row],[PMT NO]])-ROW(PaymentSchedule4[[#Headers],[PMT NO]])-2)+DAY(LoanStartDate),"")</f>
        <v>47788</v>
      </c>
      <c r="D161" s="32">
        <f>IF(PaymentSchedule4[[#This Row],[PMT NO]]&lt;&gt;"",IF(ROW()-ROW(PaymentSchedule4[[#Headers],[BEGINNING BALANCE]])=1,LoanAmount,INDEX(PaymentSchedule4[ENDING BALANCE],ROW()-ROW(PaymentSchedule4[[#Headers],[BEGINNING BALANCE]])-1)),"")</f>
        <v>112037.59341260088</v>
      </c>
      <c r="E161" s="32">
        <f>IF(PaymentSchedule4[[#This Row],[PMT NO]]&lt;&gt;"",ScheduledPayment,"")</f>
        <v>760.02796473882097</v>
      </c>
      <c r="F16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6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61" s="32">
        <f>IF(PaymentSchedule4[[#This Row],[PMT NO]]&lt;&gt;"",PaymentSchedule4[[#This Row],[TOTAL PAYMENT]]-PaymentSchedule4[[#This Row],[INTEREST]],"")</f>
        <v>339.88698944156766</v>
      </c>
      <c r="I161" s="32">
        <f>IF(PaymentSchedule4[[#This Row],[PMT NO]]&lt;&gt;"",PaymentSchedule4[[#This Row],[BEGINNING BALANCE]]*(InterestRate/PaymentsPerYear),"")</f>
        <v>420.14097529725331</v>
      </c>
      <c r="J16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111697.70642315931</v>
      </c>
      <c r="K161" s="32">
        <f>IF(PaymentSchedule4[[#This Row],[PMT NO]]&lt;&gt;"",SUM(INDEX(PaymentSchedule4[INTEREST],1,1):PaymentSchedule4[[#This Row],[INTEREST]]),"")</f>
        <v>72661.789275027113</v>
      </c>
    </row>
    <row r="162" spans="2:11" x14ac:dyDescent="0.3">
      <c r="B162" s="30">
        <f>IF(LoanIsGood,IF(ROW()-ROW(PaymentSchedule4[[#Headers],[PMT NO]])&gt;ScheduledNumberOfPayments,"",ROW()-ROW(PaymentSchedule4[[#Headers],[PMT NO]])),"")</f>
        <v>147</v>
      </c>
      <c r="C162" s="31">
        <f>IF(PaymentSchedule4[[#This Row],[PMT NO]]&lt;&gt;"",EOMONTH(LoanStartDate,ROW(PaymentSchedule4[[#This Row],[PMT NO]])-ROW(PaymentSchedule4[[#Headers],[PMT NO]])-2)+DAY(LoanStartDate),"")</f>
        <v>47818</v>
      </c>
      <c r="D162" s="32">
        <f>IF(PaymentSchedule4[[#This Row],[PMT NO]]&lt;&gt;"",IF(ROW()-ROW(PaymentSchedule4[[#Headers],[BEGINNING BALANCE]])=1,LoanAmount,INDEX(PaymentSchedule4[ENDING BALANCE],ROW()-ROW(PaymentSchedule4[[#Headers],[BEGINNING BALANCE]])-1)),"")</f>
        <v>111697.70642315931</v>
      </c>
      <c r="E162" s="32">
        <f>IF(PaymentSchedule4[[#This Row],[PMT NO]]&lt;&gt;"",ScheduledPayment,"")</f>
        <v>760.02796473882097</v>
      </c>
      <c r="F16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6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62" s="32">
        <f>IF(PaymentSchedule4[[#This Row],[PMT NO]]&lt;&gt;"",PaymentSchedule4[[#This Row],[TOTAL PAYMENT]]-PaymentSchedule4[[#This Row],[INTEREST]],"")</f>
        <v>341.16156565197355</v>
      </c>
      <c r="I162" s="32">
        <f>IF(PaymentSchedule4[[#This Row],[PMT NO]]&lt;&gt;"",PaymentSchedule4[[#This Row],[BEGINNING BALANCE]]*(InterestRate/PaymentsPerYear),"")</f>
        <v>418.86639908684742</v>
      </c>
      <c r="J16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111356.54485750734</v>
      </c>
      <c r="K162" s="32">
        <f>IF(PaymentSchedule4[[#This Row],[PMT NO]]&lt;&gt;"",SUM(INDEX(PaymentSchedule4[INTEREST],1,1):PaymentSchedule4[[#This Row],[INTEREST]]),"")</f>
        <v>73080.655674113965</v>
      </c>
    </row>
    <row r="163" spans="2:11" x14ac:dyDescent="0.3">
      <c r="B163" s="30">
        <f>IF(LoanIsGood,IF(ROW()-ROW(PaymentSchedule4[[#Headers],[PMT NO]])&gt;ScheduledNumberOfPayments,"",ROW()-ROW(PaymentSchedule4[[#Headers],[PMT NO]])),"")</f>
        <v>148</v>
      </c>
      <c r="C163" s="31">
        <f>IF(PaymentSchedule4[[#This Row],[PMT NO]]&lt;&gt;"",EOMONTH(LoanStartDate,ROW(PaymentSchedule4[[#This Row],[PMT NO]])-ROW(PaymentSchedule4[[#Headers],[PMT NO]])-2)+DAY(LoanStartDate),"")</f>
        <v>47849</v>
      </c>
      <c r="D163" s="32">
        <f>IF(PaymentSchedule4[[#This Row],[PMT NO]]&lt;&gt;"",IF(ROW()-ROW(PaymentSchedule4[[#Headers],[BEGINNING BALANCE]])=1,LoanAmount,INDEX(PaymentSchedule4[ENDING BALANCE],ROW()-ROW(PaymentSchedule4[[#Headers],[BEGINNING BALANCE]])-1)),"")</f>
        <v>111356.54485750734</v>
      </c>
      <c r="E163" s="32">
        <f>IF(PaymentSchedule4[[#This Row],[PMT NO]]&lt;&gt;"",ScheduledPayment,"")</f>
        <v>760.02796473882097</v>
      </c>
      <c r="F16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6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63" s="32">
        <f>IF(PaymentSchedule4[[#This Row],[PMT NO]]&lt;&gt;"",PaymentSchedule4[[#This Row],[TOTAL PAYMENT]]-PaymentSchedule4[[#This Row],[INTEREST]],"")</f>
        <v>342.44092152316847</v>
      </c>
      <c r="I163" s="32">
        <f>IF(PaymentSchedule4[[#This Row],[PMT NO]]&lt;&gt;"",PaymentSchedule4[[#This Row],[BEGINNING BALANCE]]*(InterestRate/PaymentsPerYear),"")</f>
        <v>417.5870432156525</v>
      </c>
      <c r="J16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111014.10393598417</v>
      </c>
      <c r="K163" s="32">
        <f>IF(PaymentSchedule4[[#This Row],[PMT NO]]&lt;&gt;"",SUM(INDEX(PaymentSchedule4[INTEREST],1,1):PaymentSchedule4[[#This Row],[INTEREST]]),"")</f>
        <v>73498.242717329616</v>
      </c>
    </row>
    <row r="164" spans="2:11" x14ac:dyDescent="0.3">
      <c r="B164" s="30">
        <f>IF(LoanIsGood,IF(ROW()-ROW(PaymentSchedule4[[#Headers],[PMT NO]])&gt;ScheduledNumberOfPayments,"",ROW()-ROW(PaymentSchedule4[[#Headers],[PMT NO]])),"")</f>
        <v>149</v>
      </c>
      <c r="C164" s="31">
        <f>IF(PaymentSchedule4[[#This Row],[PMT NO]]&lt;&gt;"",EOMONTH(LoanStartDate,ROW(PaymentSchedule4[[#This Row],[PMT NO]])-ROW(PaymentSchedule4[[#Headers],[PMT NO]])-2)+DAY(LoanStartDate),"")</f>
        <v>47880</v>
      </c>
      <c r="D164" s="32">
        <f>IF(PaymentSchedule4[[#This Row],[PMT NO]]&lt;&gt;"",IF(ROW()-ROW(PaymentSchedule4[[#Headers],[BEGINNING BALANCE]])=1,LoanAmount,INDEX(PaymentSchedule4[ENDING BALANCE],ROW()-ROW(PaymentSchedule4[[#Headers],[BEGINNING BALANCE]])-1)),"")</f>
        <v>111014.10393598417</v>
      </c>
      <c r="E164" s="32">
        <f>IF(PaymentSchedule4[[#This Row],[PMT NO]]&lt;&gt;"",ScheduledPayment,"")</f>
        <v>760.02796473882097</v>
      </c>
      <c r="F16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6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64" s="32">
        <f>IF(PaymentSchedule4[[#This Row],[PMT NO]]&lt;&gt;"",PaymentSchedule4[[#This Row],[TOTAL PAYMENT]]-PaymentSchedule4[[#This Row],[INTEREST]],"")</f>
        <v>343.72507497888034</v>
      </c>
      <c r="I164" s="32">
        <f>IF(PaymentSchedule4[[#This Row],[PMT NO]]&lt;&gt;"",PaymentSchedule4[[#This Row],[BEGINNING BALANCE]]*(InterestRate/PaymentsPerYear),"")</f>
        <v>416.30288975994063</v>
      </c>
      <c r="J16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110670.37886100529</v>
      </c>
      <c r="K164" s="32">
        <f>IF(PaymentSchedule4[[#This Row],[PMT NO]]&lt;&gt;"",SUM(INDEX(PaymentSchedule4[INTEREST],1,1):PaymentSchedule4[[#This Row],[INTEREST]]),"")</f>
        <v>73914.54560708956</v>
      </c>
    </row>
    <row r="165" spans="2:11" x14ac:dyDescent="0.3">
      <c r="B165" s="30">
        <f>IF(LoanIsGood,IF(ROW()-ROW(PaymentSchedule4[[#Headers],[PMT NO]])&gt;ScheduledNumberOfPayments,"",ROW()-ROW(PaymentSchedule4[[#Headers],[PMT NO]])),"")</f>
        <v>150</v>
      </c>
      <c r="C165" s="31">
        <f>IF(PaymentSchedule4[[#This Row],[PMT NO]]&lt;&gt;"",EOMONTH(LoanStartDate,ROW(PaymentSchedule4[[#This Row],[PMT NO]])-ROW(PaymentSchedule4[[#Headers],[PMT NO]])-2)+DAY(LoanStartDate),"")</f>
        <v>47908</v>
      </c>
      <c r="D165" s="32">
        <f>IF(PaymentSchedule4[[#This Row],[PMT NO]]&lt;&gt;"",IF(ROW()-ROW(PaymentSchedule4[[#Headers],[BEGINNING BALANCE]])=1,LoanAmount,INDEX(PaymentSchedule4[ENDING BALANCE],ROW()-ROW(PaymentSchedule4[[#Headers],[BEGINNING BALANCE]])-1)),"")</f>
        <v>110670.37886100529</v>
      </c>
      <c r="E165" s="32">
        <f>IF(PaymentSchedule4[[#This Row],[PMT NO]]&lt;&gt;"",ScheduledPayment,"")</f>
        <v>760.02796473882097</v>
      </c>
      <c r="F16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6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65" s="32">
        <f>IF(PaymentSchedule4[[#This Row],[PMT NO]]&lt;&gt;"",PaymentSchedule4[[#This Row],[TOTAL PAYMENT]]-PaymentSchedule4[[#This Row],[INTEREST]],"")</f>
        <v>345.01404401005118</v>
      </c>
      <c r="I165" s="32">
        <f>IF(PaymentSchedule4[[#This Row],[PMT NO]]&lt;&gt;"",PaymentSchedule4[[#This Row],[BEGINNING BALANCE]]*(InterestRate/PaymentsPerYear),"")</f>
        <v>415.01392072876979</v>
      </c>
      <c r="J16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110325.36481699524</v>
      </c>
      <c r="K165" s="32">
        <f>IF(PaymentSchedule4[[#This Row],[PMT NO]]&lt;&gt;"",SUM(INDEX(PaymentSchedule4[INTEREST],1,1):PaymentSchedule4[[#This Row],[INTEREST]]),"")</f>
        <v>74329.559527818332</v>
      </c>
    </row>
    <row r="166" spans="2:11" x14ac:dyDescent="0.3">
      <c r="B166" s="30">
        <f>IF(LoanIsGood,IF(ROW()-ROW(PaymentSchedule4[[#Headers],[PMT NO]])&gt;ScheduledNumberOfPayments,"",ROW()-ROW(PaymentSchedule4[[#Headers],[PMT NO]])),"")</f>
        <v>151</v>
      </c>
      <c r="C166" s="31">
        <f>IF(PaymentSchedule4[[#This Row],[PMT NO]]&lt;&gt;"",EOMONTH(LoanStartDate,ROW(PaymentSchedule4[[#This Row],[PMT NO]])-ROW(PaymentSchedule4[[#Headers],[PMT NO]])-2)+DAY(LoanStartDate),"")</f>
        <v>47939</v>
      </c>
      <c r="D166" s="32">
        <f>IF(PaymentSchedule4[[#This Row],[PMT NO]]&lt;&gt;"",IF(ROW()-ROW(PaymentSchedule4[[#Headers],[BEGINNING BALANCE]])=1,LoanAmount,INDEX(PaymentSchedule4[ENDING BALANCE],ROW()-ROW(PaymentSchedule4[[#Headers],[BEGINNING BALANCE]])-1)),"")</f>
        <v>110325.36481699524</v>
      </c>
      <c r="E166" s="32">
        <f>IF(PaymentSchedule4[[#This Row],[PMT NO]]&lt;&gt;"",ScheduledPayment,"")</f>
        <v>760.02796473882097</v>
      </c>
      <c r="F16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6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66" s="32">
        <f>IF(PaymentSchedule4[[#This Row],[PMT NO]]&lt;&gt;"",PaymentSchedule4[[#This Row],[TOTAL PAYMENT]]-PaymentSchedule4[[#This Row],[INTEREST]],"")</f>
        <v>346.30784667508885</v>
      </c>
      <c r="I166" s="32">
        <f>IF(PaymentSchedule4[[#This Row],[PMT NO]]&lt;&gt;"",PaymentSchedule4[[#This Row],[BEGINNING BALANCE]]*(InterestRate/PaymentsPerYear),"")</f>
        <v>413.72011806373212</v>
      </c>
      <c r="J16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109979.05697032015</v>
      </c>
      <c r="K166" s="32">
        <f>IF(PaymentSchedule4[[#This Row],[PMT NO]]&lt;&gt;"",SUM(INDEX(PaymentSchedule4[INTEREST],1,1):PaymentSchedule4[[#This Row],[INTEREST]]),"")</f>
        <v>74743.279645882067</v>
      </c>
    </row>
    <row r="167" spans="2:11" x14ac:dyDescent="0.3">
      <c r="B167" s="30">
        <f>IF(LoanIsGood,IF(ROW()-ROW(PaymentSchedule4[[#Headers],[PMT NO]])&gt;ScheduledNumberOfPayments,"",ROW()-ROW(PaymentSchedule4[[#Headers],[PMT NO]])),"")</f>
        <v>152</v>
      </c>
      <c r="C167" s="31">
        <f>IF(PaymentSchedule4[[#This Row],[PMT NO]]&lt;&gt;"",EOMONTH(LoanStartDate,ROW(PaymentSchedule4[[#This Row],[PMT NO]])-ROW(PaymentSchedule4[[#Headers],[PMT NO]])-2)+DAY(LoanStartDate),"")</f>
        <v>47969</v>
      </c>
      <c r="D167" s="32">
        <f>IF(PaymentSchedule4[[#This Row],[PMT NO]]&lt;&gt;"",IF(ROW()-ROW(PaymentSchedule4[[#Headers],[BEGINNING BALANCE]])=1,LoanAmount,INDEX(PaymentSchedule4[ENDING BALANCE],ROW()-ROW(PaymentSchedule4[[#Headers],[BEGINNING BALANCE]])-1)),"")</f>
        <v>109979.05697032015</v>
      </c>
      <c r="E167" s="32">
        <f>IF(PaymentSchedule4[[#This Row],[PMT NO]]&lt;&gt;"",ScheduledPayment,"")</f>
        <v>760.02796473882097</v>
      </c>
      <c r="F16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6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67" s="32">
        <f>IF(PaymentSchedule4[[#This Row],[PMT NO]]&lt;&gt;"",PaymentSchedule4[[#This Row],[TOTAL PAYMENT]]-PaymentSchedule4[[#This Row],[INTEREST]],"")</f>
        <v>347.60650110012045</v>
      </c>
      <c r="I167" s="32">
        <f>IF(PaymentSchedule4[[#This Row],[PMT NO]]&lt;&gt;"",PaymentSchedule4[[#This Row],[BEGINNING BALANCE]]*(InterestRate/PaymentsPerYear),"")</f>
        <v>412.42146363870052</v>
      </c>
      <c r="J16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109631.45046922003</v>
      </c>
      <c r="K167" s="32">
        <f>IF(PaymentSchedule4[[#This Row],[PMT NO]]&lt;&gt;"",SUM(INDEX(PaymentSchedule4[INTEREST],1,1):PaymentSchedule4[[#This Row],[INTEREST]]),"")</f>
        <v>75155.701109520771</v>
      </c>
    </row>
    <row r="168" spans="2:11" x14ac:dyDescent="0.3">
      <c r="B168" s="30">
        <f>IF(LoanIsGood,IF(ROW()-ROW(PaymentSchedule4[[#Headers],[PMT NO]])&gt;ScheduledNumberOfPayments,"",ROW()-ROW(PaymentSchedule4[[#Headers],[PMT NO]])),"")</f>
        <v>153</v>
      </c>
      <c r="C168" s="31">
        <f>IF(PaymentSchedule4[[#This Row],[PMT NO]]&lt;&gt;"",EOMONTH(LoanStartDate,ROW(PaymentSchedule4[[#This Row],[PMT NO]])-ROW(PaymentSchedule4[[#Headers],[PMT NO]])-2)+DAY(LoanStartDate),"")</f>
        <v>48000</v>
      </c>
      <c r="D168" s="32">
        <f>IF(PaymentSchedule4[[#This Row],[PMT NO]]&lt;&gt;"",IF(ROW()-ROW(PaymentSchedule4[[#Headers],[BEGINNING BALANCE]])=1,LoanAmount,INDEX(PaymentSchedule4[ENDING BALANCE],ROW()-ROW(PaymentSchedule4[[#Headers],[BEGINNING BALANCE]])-1)),"")</f>
        <v>109631.45046922003</v>
      </c>
      <c r="E168" s="32">
        <f>IF(PaymentSchedule4[[#This Row],[PMT NO]]&lt;&gt;"",ScheduledPayment,"")</f>
        <v>760.02796473882097</v>
      </c>
      <c r="F16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6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68" s="32">
        <f>IF(PaymentSchedule4[[#This Row],[PMT NO]]&lt;&gt;"",PaymentSchedule4[[#This Row],[TOTAL PAYMENT]]-PaymentSchedule4[[#This Row],[INTEREST]],"")</f>
        <v>348.91002547924586</v>
      </c>
      <c r="I168" s="32">
        <f>IF(PaymentSchedule4[[#This Row],[PMT NO]]&lt;&gt;"",PaymentSchedule4[[#This Row],[BEGINNING BALANCE]]*(InterestRate/PaymentsPerYear),"")</f>
        <v>411.11793925957511</v>
      </c>
      <c r="J16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109282.54044374079</v>
      </c>
      <c r="K168" s="32">
        <f>IF(PaymentSchedule4[[#This Row],[PMT NO]]&lt;&gt;"",SUM(INDEX(PaymentSchedule4[INTEREST],1,1):PaymentSchedule4[[#This Row],[INTEREST]]),"")</f>
        <v>75566.819048780351</v>
      </c>
    </row>
    <row r="169" spans="2:11" x14ac:dyDescent="0.3">
      <c r="B169" s="30">
        <f>IF(LoanIsGood,IF(ROW()-ROW(PaymentSchedule4[[#Headers],[PMT NO]])&gt;ScheduledNumberOfPayments,"",ROW()-ROW(PaymentSchedule4[[#Headers],[PMT NO]])),"")</f>
        <v>154</v>
      </c>
      <c r="C169" s="31">
        <f>IF(PaymentSchedule4[[#This Row],[PMT NO]]&lt;&gt;"",EOMONTH(LoanStartDate,ROW(PaymentSchedule4[[#This Row],[PMT NO]])-ROW(PaymentSchedule4[[#Headers],[PMT NO]])-2)+DAY(LoanStartDate),"")</f>
        <v>48030</v>
      </c>
      <c r="D169" s="32">
        <f>IF(PaymentSchedule4[[#This Row],[PMT NO]]&lt;&gt;"",IF(ROW()-ROW(PaymentSchedule4[[#Headers],[BEGINNING BALANCE]])=1,LoanAmount,INDEX(PaymentSchedule4[ENDING BALANCE],ROW()-ROW(PaymentSchedule4[[#Headers],[BEGINNING BALANCE]])-1)),"")</f>
        <v>109282.54044374079</v>
      </c>
      <c r="E169" s="32">
        <f>IF(PaymentSchedule4[[#This Row],[PMT NO]]&lt;&gt;"",ScheduledPayment,"")</f>
        <v>760.02796473882097</v>
      </c>
      <c r="F16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6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69" s="32">
        <f>IF(PaymentSchedule4[[#This Row],[PMT NO]]&lt;&gt;"",PaymentSchedule4[[#This Row],[TOTAL PAYMENT]]-PaymentSchedule4[[#This Row],[INTEREST]],"")</f>
        <v>350.21843807479303</v>
      </c>
      <c r="I169" s="32">
        <f>IF(PaymentSchedule4[[#This Row],[PMT NO]]&lt;&gt;"",PaymentSchedule4[[#This Row],[BEGINNING BALANCE]]*(InterestRate/PaymentsPerYear),"")</f>
        <v>409.80952666402794</v>
      </c>
      <c r="J16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108932.32200566599</v>
      </c>
      <c r="K169" s="32">
        <f>IF(PaymentSchedule4[[#This Row],[PMT NO]]&lt;&gt;"",SUM(INDEX(PaymentSchedule4[INTEREST],1,1):PaymentSchedule4[[#This Row],[INTEREST]]),"")</f>
        <v>75976.628575444382</v>
      </c>
    </row>
    <row r="170" spans="2:11" x14ac:dyDescent="0.3">
      <c r="B170" s="30">
        <f>IF(LoanIsGood,IF(ROW()-ROW(PaymentSchedule4[[#Headers],[PMT NO]])&gt;ScheduledNumberOfPayments,"",ROW()-ROW(PaymentSchedule4[[#Headers],[PMT NO]])),"")</f>
        <v>155</v>
      </c>
      <c r="C170" s="31">
        <f>IF(PaymentSchedule4[[#This Row],[PMT NO]]&lt;&gt;"",EOMONTH(LoanStartDate,ROW(PaymentSchedule4[[#This Row],[PMT NO]])-ROW(PaymentSchedule4[[#Headers],[PMT NO]])-2)+DAY(LoanStartDate),"")</f>
        <v>48061</v>
      </c>
      <c r="D170" s="32">
        <f>IF(PaymentSchedule4[[#This Row],[PMT NO]]&lt;&gt;"",IF(ROW()-ROW(PaymentSchedule4[[#Headers],[BEGINNING BALANCE]])=1,LoanAmount,INDEX(PaymentSchedule4[ENDING BALANCE],ROW()-ROW(PaymentSchedule4[[#Headers],[BEGINNING BALANCE]])-1)),"")</f>
        <v>108932.32200566599</v>
      </c>
      <c r="E170" s="32">
        <f>IF(PaymentSchedule4[[#This Row],[PMT NO]]&lt;&gt;"",ScheduledPayment,"")</f>
        <v>760.02796473882097</v>
      </c>
      <c r="F17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7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70" s="32">
        <f>IF(PaymentSchedule4[[#This Row],[PMT NO]]&lt;&gt;"",PaymentSchedule4[[#This Row],[TOTAL PAYMENT]]-PaymentSchedule4[[#This Row],[INTEREST]],"")</f>
        <v>351.5317572175735</v>
      </c>
      <c r="I170" s="32">
        <f>IF(PaymentSchedule4[[#This Row],[PMT NO]]&lt;&gt;"",PaymentSchedule4[[#This Row],[BEGINNING BALANCE]]*(InterestRate/PaymentsPerYear),"")</f>
        <v>408.49620752124747</v>
      </c>
      <c r="J17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108580.79024844842</v>
      </c>
      <c r="K170" s="32">
        <f>IF(PaymentSchedule4[[#This Row],[PMT NO]]&lt;&gt;"",SUM(INDEX(PaymentSchedule4[INTEREST],1,1):PaymentSchedule4[[#This Row],[INTEREST]]),"")</f>
        <v>76385.124782965635</v>
      </c>
    </row>
    <row r="171" spans="2:11" x14ac:dyDescent="0.3">
      <c r="B171" s="30">
        <f>IF(LoanIsGood,IF(ROW()-ROW(PaymentSchedule4[[#Headers],[PMT NO]])&gt;ScheduledNumberOfPayments,"",ROW()-ROW(PaymentSchedule4[[#Headers],[PMT NO]])),"")</f>
        <v>156</v>
      </c>
      <c r="C171" s="31">
        <f>IF(PaymentSchedule4[[#This Row],[PMT NO]]&lt;&gt;"",EOMONTH(LoanStartDate,ROW(PaymentSchedule4[[#This Row],[PMT NO]])-ROW(PaymentSchedule4[[#Headers],[PMT NO]])-2)+DAY(LoanStartDate),"")</f>
        <v>48092</v>
      </c>
      <c r="D171" s="32">
        <f>IF(PaymentSchedule4[[#This Row],[PMT NO]]&lt;&gt;"",IF(ROW()-ROW(PaymentSchedule4[[#Headers],[BEGINNING BALANCE]])=1,LoanAmount,INDEX(PaymentSchedule4[ENDING BALANCE],ROW()-ROW(PaymentSchedule4[[#Headers],[BEGINNING BALANCE]])-1)),"")</f>
        <v>108580.79024844842</v>
      </c>
      <c r="E171" s="32">
        <f>IF(PaymentSchedule4[[#This Row],[PMT NO]]&lt;&gt;"",ScheduledPayment,"")</f>
        <v>760.02796473882097</v>
      </c>
      <c r="F17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7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71" s="32">
        <f>IF(PaymentSchedule4[[#This Row],[PMT NO]]&lt;&gt;"",PaymentSchedule4[[#This Row],[TOTAL PAYMENT]]-PaymentSchedule4[[#This Row],[INTEREST]],"")</f>
        <v>352.85000130713939</v>
      </c>
      <c r="I171" s="32">
        <f>IF(PaymentSchedule4[[#This Row],[PMT NO]]&lt;&gt;"",PaymentSchedule4[[#This Row],[BEGINNING BALANCE]]*(InterestRate/PaymentsPerYear),"")</f>
        <v>407.17796343168158</v>
      </c>
      <c r="J17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108227.94024714128</v>
      </c>
      <c r="K171" s="32">
        <f>IF(PaymentSchedule4[[#This Row],[PMT NO]]&lt;&gt;"",SUM(INDEX(PaymentSchedule4[INTEREST],1,1):PaymentSchedule4[[#This Row],[INTEREST]]),"")</f>
        <v>76792.302746397312</v>
      </c>
    </row>
    <row r="172" spans="2:11" x14ac:dyDescent="0.3">
      <c r="B172" s="30">
        <f>IF(LoanIsGood,IF(ROW()-ROW(PaymentSchedule4[[#Headers],[PMT NO]])&gt;ScheduledNumberOfPayments,"",ROW()-ROW(PaymentSchedule4[[#Headers],[PMT NO]])),"")</f>
        <v>157</v>
      </c>
      <c r="C172" s="31">
        <f>IF(PaymentSchedule4[[#This Row],[PMT NO]]&lt;&gt;"",EOMONTH(LoanStartDate,ROW(PaymentSchedule4[[#This Row],[PMT NO]])-ROW(PaymentSchedule4[[#Headers],[PMT NO]])-2)+DAY(LoanStartDate),"")</f>
        <v>48122</v>
      </c>
      <c r="D172" s="32">
        <f>IF(PaymentSchedule4[[#This Row],[PMT NO]]&lt;&gt;"",IF(ROW()-ROW(PaymentSchedule4[[#Headers],[BEGINNING BALANCE]])=1,LoanAmount,INDEX(PaymentSchedule4[ENDING BALANCE],ROW()-ROW(PaymentSchedule4[[#Headers],[BEGINNING BALANCE]])-1)),"")</f>
        <v>108227.94024714128</v>
      </c>
      <c r="E172" s="32">
        <f>IF(PaymentSchedule4[[#This Row],[PMT NO]]&lt;&gt;"",ScheduledPayment,"")</f>
        <v>760.02796473882097</v>
      </c>
      <c r="F17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7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72" s="32">
        <f>IF(PaymentSchedule4[[#This Row],[PMT NO]]&lt;&gt;"",PaymentSchedule4[[#This Row],[TOTAL PAYMENT]]-PaymentSchedule4[[#This Row],[INTEREST]],"")</f>
        <v>354.17318881204119</v>
      </c>
      <c r="I172" s="32">
        <f>IF(PaymentSchedule4[[#This Row],[PMT NO]]&lt;&gt;"",PaymentSchedule4[[#This Row],[BEGINNING BALANCE]]*(InterestRate/PaymentsPerYear),"")</f>
        <v>405.85477592677978</v>
      </c>
      <c r="J17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107873.76705832923</v>
      </c>
      <c r="K172" s="32">
        <f>IF(PaymentSchedule4[[#This Row],[PMT NO]]&lt;&gt;"",SUM(INDEX(PaymentSchedule4[INTEREST],1,1):PaymentSchedule4[[#This Row],[INTEREST]]),"")</f>
        <v>77198.157522324094</v>
      </c>
    </row>
    <row r="173" spans="2:11" x14ac:dyDescent="0.3">
      <c r="B173" s="30">
        <f>IF(LoanIsGood,IF(ROW()-ROW(PaymentSchedule4[[#Headers],[PMT NO]])&gt;ScheduledNumberOfPayments,"",ROW()-ROW(PaymentSchedule4[[#Headers],[PMT NO]])),"")</f>
        <v>158</v>
      </c>
      <c r="C173" s="31">
        <f>IF(PaymentSchedule4[[#This Row],[PMT NO]]&lt;&gt;"",EOMONTH(LoanStartDate,ROW(PaymentSchedule4[[#This Row],[PMT NO]])-ROW(PaymentSchedule4[[#Headers],[PMT NO]])-2)+DAY(LoanStartDate),"")</f>
        <v>48153</v>
      </c>
      <c r="D173" s="32">
        <f>IF(PaymentSchedule4[[#This Row],[PMT NO]]&lt;&gt;"",IF(ROW()-ROW(PaymentSchedule4[[#Headers],[BEGINNING BALANCE]])=1,LoanAmount,INDEX(PaymentSchedule4[ENDING BALANCE],ROW()-ROW(PaymentSchedule4[[#Headers],[BEGINNING BALANCE]])-1)),"")</f>
        <v>107873.76705832923</v>
      </c>
      <c r="E173" s="32">
        <f>IF(PaymentSchedule4[[#This Row],[PMT NO]]&lt;&gt;"",ScheduledPayment,"")</f>
        <v>760.02796473882097</v>
      </c>
      <c r="F17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7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73" s="32">
        <f>IF(PaymentSchedule4[[#This Row],[PMT NO]]&lt;&gt;"",PaymentSchedule4[[#This Row],[TOTAL PAYMENT]]-PaymentSchedule4[[#This Row],[INTEREST]],"")</f>
        <v>355.50133827008636</v>
      </c>
      <c r="I173" s="32">
        <f>IF(PaymentSchedule4[[#This Row],[PMT NO]]&lt;&gt;"",PaymentSchedule4[[#This Row],[BEGINNING BALANCE]]*(InterestRate/PaymentsPerYear),"")</f>
        <v>404.52662646873461</v>
      </c>
      <c r="J17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107518.26572005915</v>
      </c>
      <c r="K173" s="32">
        <f>IF(PaymentSchedule4[[#This Row],[PMT NO]]&lt;&gt;"",SUM(INDEX(PaymentSchedule4[INTEREST],1,1):PaymentSchedule4[[#This Row],[INTEREST]]),"")</f>
        <v>77602.684148792832</v>
      </c>
    </row>
    <row r="174" spans="2:11" x14ac:dyDescent="0.3">
      <c r="B174" s="30">
        <f>IF(LoanIsGood,IF(ROW()-ROW(PaymentSchedule4[[#Headers],[PMT NO]])&gt;ScheduledNumberOfPayments,"",ROW()-ROW(PaymentSchedule4[[#Headers],[PMT NO]])),"")</f>
        <v>159</v>
      </c>
      <c r="C174" s="31">
        <f>IF(PaymentSchedule4[[#This Row],[PMT NO]]&lt;&gt;"",EOMONTH(LoanStartDate,ROW(PaymentSchedule4[[#This Row],[PMT NO]])-ROW(PaymentSchedule4[[#Headers],[PMT NO]])-2)+DAY(LoanStartDate),"")</f>
        <v>48183</v>
      </c>
      <c r="D174" s="32">
        <f>IF(PaymentSchedule4[[#This Row],[PMT NO]]&lt;&gt;"",IF(ROW()-ROW(PaymentSchedule4[[#Headers],[BEGINNING BALANCE]])=1,LoanAmount,INDEX(PaymentSchedule4[ENDING BALANCE],ROW()-ROW(PaymentSchedule4[[#Headers],[BEGINNING BALANCE]])-1)),"")</f>
        <v>107518.26572005915</v>
      </c>
      <c r="E174" s="32">
        <f>IF(PaymentSchedule4[[#This Row],[PMT NO]]&lt;&gt;"",ScheduledPayment,"")</f>
        <v>760.02796473882097</v>
      </c>
      <c r="F17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7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74" s="32">
        <f>IF(PaymentSchedule4[[#This Row],[PMT NO]]&lt;&gt;"",PaymentSchedule4[[#This Row],[TOTAL PAYMENT]]-PaymentSchedule4[[#This Row],[INTEREST]],"")</f>
        <v>356.83446828859917</v>
      </c>
      <c r="I174" s="32">
        <f>IF(PaymentSchedule4[[#This Row],[PMT NO]]&lt;&gt;"",PaymentSchedule4[[#This Row],[BEGINNING BALANCE]]*(InterestRate/PaymentsPerYear),"")</f>
        <v>403.1934964502218</v>
      </c>
      <c r="J17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107161.43125177055</v>
      </c>
      <c r="K174" s="32">
        <f>IF(PaymentSchedule4[[#This Row],[PMT NO]]&lt;&gt;"",SUM(INDEX(PaymentSchedule4[INTEREST],1,1):PaymentSchedule4[[#This Row],[INTEREST]]),"")</f>
        <v>78005.877645243061</v>
      </c>
    </row>
    <row r="175" spans="2:11" x14ac:dyDescent="0.3">
      <c r="B175" s="30">
        <f>IF(LoanIsGood,IF(ROW()-ROW(PaymentSchedule4[[#Headers],[PMT NO]])&gt;ScheduledNumberOfPayments,"",ROW()-ROW(PaymentSchedule4[[#Headers],[PMT NO]])),"")</f>
        <v>160</v>
      </c>
      <c r="C175" s="31">
        <f>IF(PaymentSchedule4[[#This Row],[PMT NO]]&lt;&gt;"",EOMONTH(LoanStartDate,ROW(PaymentSchedule4[[#This Row],[PMT NO]])-ROW(PaymentSchedule4[[#Headers],[PMT NO]])-2)+DAY(LoanStartDate),"")</f>
        <v>48214</v>
      </c>
      <c r="D175" s="32">
        <f>IF(PaymentSchedule4[[#This Row],[PMT NO]]&lt;&gt;"",IF(ROW()-ROW(PaymentSchedule4[[#Headers],[BEGINNING BALANCE]])=1,LoanAmount,INDEX(PaymentSchedule4[ENDING BALANCE],ROW()-ROW(PaymentSchedule4[[#Headers],[BEGINNING BALANCE]])-1)),"")</f>
        <v>107161.43125177055</v>
      </c>
      <c r="E175" s="32">
        <f>IF(PaymentSchedule4[[#This Row],[PMT NO]]&lt;&gt;"",ScheduledPayment,"")</f>
        <v>760.02796473882097</v>
      </c>
      <c r="F17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7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75" s="32">
        <f>IF(PaymentSchedule4[[#This Row],[PMT NO]]&lt;&gt;"",PaymentSchedule4[[#This Row],[TOTAL PAYMENT]]-PaymentSchedule4[[#This Row],[INTEREST]],"")</f>
        <v>358.17259754468142</v>
      </c>
      <c r="I175" s="32">
        <f>IF(PaymentSchedule4[[#This Row],[PMT NO]]&lt;&gt;"",PaymentSchedule4[[#This Row],[BEGINNING BALANCE]]*(InterestRate/PaymentsPerYear),"")</f>
        <v>401.85536719413955</v>
      </c>
      <c r="J17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106803.25865422588</v>
      </c>
      <c r="K175" s="32">
        <f>IF(PaymentSchedule4[[#This Row],[PMT NO]]&lt;&gt;"",SUM(INDEX(PaymentSchedule4[INTEREST],1,1):PaymentSchedule4[[#This Row],[INTEREST]]),"")</f>
        <v>78407.733012437195</v>
      </c>
    </row>
    <row r="176" spans="2:11" x14ac:dyDescent="0.3">
      <c r="B176" s="30">
        <f>IF(LoanIsGood,IF(ROW()-ROW(PaymentSchedule4[[#Headers],[PMT NO]])&gt;ScheduledNumberOfPayments,"",ROW()-ROW(PaymentSchedule4[[#Headers],[PMT NO]])),"")</f>
        <v>161</v>
      </c>
      <c r="C176" s="31">
        <f>IF(PaymentSchedule4[[#This Row],[PMT NO]]&lt;&gt;"",EOMONTH(LoanStartDate,ROW(PaymentSchedule4[[#This Row],[PMT NO]])-ROW(PaymentSchedule4[[#Headers],[PMT NO]])-2)+DAY(LoanStartDate),"")</f>
        <v>48245</v>
      </c>
      <c r="D176" s="32">
        <f>IF(PaymentSchedule4[[#This Row],[PMT NO]]&lt;&gt;"",IF(ROW()-ROW(PaymentSchedule4[[#Headers],[BEGINNING BALANCE]])=1,LoanAmount,INDEX(PaymentSchedule4[ENDING BALANCE],ROW()-ROW(PaymentSchedule4[[#Headers],[BEGINNING BALANCE]])-1)),"")</f>
        <v>106803.25865422588</v>
      </c>
      <c r="E176" s="32">
        <f>IF(PaymentSchedule4[[#This Row],[PMT NO]]&lt;&gt;"",ScheduledPayment,"")</f>
        <v>760.02796473882097</v>
      </c>
      <c r="F17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7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76" s="32">
        <f>IF(PaymentSchedule4[[#This Row],[PMT NO]]&lt;&gt;"",PaymentSchedule4[[#This Row],[TOTAL PAYMENT]]-PaymentSchedule4[[#This Row],[INTEREST]],"")</f>
        <v>359.51574478547394</v>
      </c>
      <c r="I176" s="32">
        <f>IF(PaymentSchedule4[[#This Row],[PMT NO]]&lt;&gt;"",PaymentSchedule4[[#This Row],[BEGINNING BALANCE]]*(InterestRate/PaymentsPerYear),"")</f>
        <v>400.51221995334703</v>
      </c>
      <c r="J17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106443.74290944041</v>
      </c>
      <c r="K176" s="32">
        <f>IF(PaymentSchedule4[[#This Row],[PMT NO]]&lt;&gt;"",SUM(INDEX(PaymentSchedule4[INTEREST],1,1):PaymentSchedule4[[#This Row],[INTEREST]]),"")</f>
        <v>78808.245232390545</v>
      </c>
    </row>
    <row r="177" spans="2:11" x14ac:dyDescent="0.3">
      <c r="B177" s="30">
        <f>IF(LoanIsGood,IF(ROW()-ROW(PaymentSchedule4[[#Headers],[PMT NO]])&gt;ScheduledNumberOfPayments,"",ROW()-ROW(PaymentSchedule4[[#Headers],[PMT NO]])),"")</f>
        <v>162</v>
      </c>
      <c r="C177" s="31">
        <f>IF(PaymentSchedule4[[#This Row],[PMT NO]]&lt;&gt;"",EOMONTH(LoanStartDate,ROW(PaymentSchedule4[[#This Row],[PMT NO]])-ROW(PaymentSchedule4[[#Headers],[PMT NO]])-2)+DAY(LoanStartDate),"")</f>
        <v>48274</v>
      </c>
      <c r="D177" s="32">
        <f>IF(PaymentSchedule4[[#This Row],[PMT NO]]&lt;&gt;"",IF(ROW()-ROW(PaymentSchedule4[[#Headers],[BEGINNING BALANCE]])=1,LoanAmount,INDEX(PaymentSchedule4[ENDING BALANCE],ROW()-ROW(PaymentSchedule4[[#Headers],[BEGINNING BALANCE]])-1)),"")</f>
        <v>106443.74290944041</v>
      </c>
      <c r="E177" s="32">
        <f>IF(PaymentSchedule4[[#This Row],[PMT NO]]&lt;&gt;"",ScheduledPayment,"")</f>
        <v>760.02796473882097</v>
      </c>
      <c r="F17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7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77" s="32">
        <f>IF(PaymentSchedule4[[#This Row],[PMT NO]]&lt;&gt;"",PaymentSchedule4[[#This Row],[TOTAL PAYMENT]]-PaymentSchedule4[[#This Row],[INTEREST]],"")</f>
        <v>360.86392882841943</v>
      </c>
      <c r="I177" s="32">
        <f>IF(PaymentSchedule4[[#This Row],[PMT NO]]&lt;&gt;"",PaymentSchedule4[[#This Row],[BEGINNING BALANCE]]*(InterestRate/PaymentsPerYear),"")</f>
        <v>399.16403591040154</v>
      </c>
      <c r="J17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106082.87898061199</v>
      </c>
      <c r="K177" s="32">
        <f>IF(PaymentSchedule4[[#This Row],[PMT NO]]&lt;&gt;"",SUM(INDEX(PaymentSchedule4[INTEREST],1,1):PaymentSchedule4[[#This Row],[INTEREST]]),"")</f>
        <v>79207.409268300951</v>
      </c>
    </row>
    <row r="178" spans="2:11" x14ac:dyDescent="0.3">
      <c r="B178" s="30">
        <f>IF(LoanIsGood,IF(ROW()-ROW(PaymentSchedule4[[#Headers],[PMT NO]])&gt;ScheduledNumberOfPayments,"",ROW()-ROW(PaymentSchedule4[[#Headers],[PMT NO]])),"")</f>
        <v>163</v>
      </c>
      <c r="C178" s="31">
        <f>IF(PaymentSchedule4[[#This Row],[PMT NO]]&lt;&gt;"",EOMONTH(LoanStartDate,ROW(PaymentSchedule4[[#This Row],[PMT NO]])-ROW(PaymentSchedule4[[#Headers],[PMT NO]])-2)+DAY(LoanStartDate),"")</f>
        <v>48305</v>
      </c>
      <c r="D178" s="32">
        <f>IF(PaymentSchedule4[[#This Row],[PMT NO]]&lt;&gt;"",IF(ROW()-ROW(PaymentSchedule4[[#Headers],[BEGINNING BALANCE]])=1,LoanAmount,INDEX(PaymentSchedule4[ENDING BALANCE],ROW()-ROW(PaymentSchedule4[[#Headers],[BEGINNING BALANCE]])-1)),"")</f>
        <v>106082.87898061199</v>
      </c>
      <c r="E178" s="32">
        <f>IF(PaymentSchedule4[[#This Row],[PMT NO]]&lt;&gt;"",ScheduledPayment,"")</f>
        <v>760.02796473882097</v>
      </c>
      <c r="F17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7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78" s="32">
        <f>IF(PaymentSchedule4[[#This Row],[PMT NO]]&lt;&gt;"",PaymentSchedule4[[#This Row],[TOTAL PAYMENT]]-PaymentSchedule4[[#This Row],[INTEREST]],"")</f>
        <v>362.21716856152602</v>
      </c>
      <c r="I178" s="32">
        <f>IF(PaymentSchedule4[[#This Row],[PMT NO]]&lt;&gt;"",PaymentSchedule4[[#This Row],[BEGINNING BALANCE]]*(InterestRate/PaymentsPerYear),"")</f>
        <v>397.81079617729495</v>
      </c>
      <c r="J17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105720.66181205046</v>
      </c>
      <c r="K178" s="32">
        <f>IF(PaymentSchedule4[[#This Row],[PMT NO]]&lt;&gt;"",SUM(INDEX(PaymentSchedule4[INTEREST],1,1):PaymentSchedule4[[#This Row],[INTEREST]]),"")</f>
        <v>79605.220064478242</v>
      </c>
    </row>
    <row r="179" spans="2:11" x14ac:dyDescent="0.3">
      <c r="B179" s="30">
        <f>IF(LoanIsGood,IF(ROW()-ROW(PaymentSchedule4[[#Headers],[PMT NO]])&gt;ScheduledNumberOfPayments,"",ROW()-ROW(PaymentSchedule4[[#Headers],[PMT NO]])),"")</f>
        <v>164</v>
      </c>
      <c r="C179" s="31">
        <f>IF(PaymentSchedule4[[#This Row],[PMT NO]]&lt;&gt;"",EOMONTH(LoanStartDate,ROW(PaymentSchedule4[[#This Row],[PMT NO]])-ROW(PaymentSchedule4[[#Headers],[PMT NO]])-2)+DAY(LoanStartDate),"")</f>
        <v>48335</v>
      </c>
      <c r="D179" s="32">
        <f>IF(PaymentSchedule4[[#This Row],[PMT NO]]&lt;&gt;"",IF(ROW()-ROW(PaymentSchedule4[[#Headers],[BEGINNING BALANCE]])=1,LoanAmount,INDEX(PaymentSchedule4[ENDING BALANCE],ROW()-ROW(PaymentSchedule4[[#Headers],[BEGINNING BALANCE]])-1)),"")</f>
        <v>105720.66181205046</v>
      </c>
      <c r="E179" s="32">
        <f>IF(PaymentSchedule4[[#This Row],[PMT NO]]&lt;&gt;"",ScheduledPayment,"")</f>
        <v>760.02796473882097</v>
      </c>
      <c r="F17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7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79" s="32">
        <f>IF(PaymentSchedule4[[#This Row],[PMT NO]]&lt;&gt;"",PaymentSchedule4[[#This Row],[TOTAL PAYMENT]]-PaymentSchedule4[[#This Row],[INTEREST]],"")</f>
        <v>363.57548294363176</v>
      </c>
      <c r="I179" s="32">
        <f>IF(PaymentSchedule4[[#This Row],[PMT NO]]&lt;&gt;"",PaymentSchedule4[[#This Row],[BEGINNING BALANCE]]*(InterestRate/PaymentsPerYear),"")</f>
        <v>396.45248179518921</v>
      </c>
      <c r="J17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105357.08632910682</v>
      </c>
      <c r="K179" s="32">
        <f>IF(PaymentSchedule4[[#This Row],[PMT NO]]&lt;&gt;"",SUM(INDEX(PaymentSchedule4[INTEREST],1,1):PaymentSchedule4[[#This Row],[INTEREST]]),"")</f>
        <v>80001.672546273432</v>
      </c>
    </row>
    <row r="180" spans="2:11" x14ac:dyDescent="0.3">
      <c r="B180" s="30">
        <f>IF(LoanIsGood,IF(ROW()-ROW(PaymentSchedule4[[#Headers],[PMT NO]])&gt;ScheduledNumberOfPayments,"",ROW()-ROW(PaymentSchedule4[[#Headers],[PMT NO]])),"")</f>
        <v>165</v>
      </c>
      <c r="C180" s="31">
        <f>IF(PaymentSchedule4[[#This Row],[PMT NO]]&lt;&gt;"",EOMONTH(LoanStartDate,ROW(PaymentSchedule4[[#This Row],[PMT NO]])-ROW(PaymentSchedule4[[#Headers],[PMT NO]])-2)+DAY(LoanStartDate),"")</f>
        <v>48366</v>
      </c>
      <c r="D180" s="32">
        <f>IF(PaymentSchedule4[[#This Row],[PMT NO]]&lt;&gt;"",IF(ROW()-ROW(PaymentSchedule4[[#Headers],[BEGINNING BALANCE]])=1,LoanAmount,INDEX(PaymentSchedule4[ENDING BALANCE],ROW()-ROW(PaymentSchedule4[[#Headers],[BEGINNING BALANCE]])-1)),"")</f>
        <v>105357.08632910682</v>
      </c>
      <c r="E180" s="32">
        <f>IF(PaymentSchedule4[[#This Row],[PMT NO]]&lt;&gt;"",ScheduledPayment,"")</f>
        <v>760.02796473882097</v>
      </c>
      <c r="F18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8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80" s="32">
        <f>IF(PaymentSchedule4[[#This Row],[PMT NO]]&lt;&gt;"",PaymentSchedule4[[#This Row],[TOTAL PAYMENT]]-PaymentSchedule4[[#This Row],[INTEREST]],"")</f>
        <v>364.93889100467038</v>
      </c>
      <c r="I180" s="32">
        <f>IF(PaymentSchedule4[[#This Row],[PMT NO]]&lt;&gt;"",PaymentSchedule4[[#This Row],[BEGINNING BALANCE]]*(InterestRate/PaymentsPerYear),"")</f>
        <v>395.08907373415059</v>
      </c>
      <c r="J18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104992.14743810215</v>
      </c>
      <c r="K180" s="32">
        <f>IF(PaymentSchedule4[[#This Row],[PMT NO]]&lt;&gt;"",SUM(INDEX(PaymentSchedule4[INTEREST],1,1):PaymentSchedule4[[#This Row],[INTEREST]]),"")</f>
        <v>80396.761620007586</v>
      </c>
    </row>
    <row r="181" spans="2:11" x14ac:dyDescent="0.3">
      <c r="B181" s="30">
        <f>IF(LoanIsGood,IF(ROW()-ROW(PaymentSchedule4[[#Headers],[PMT NO]])&gt;ScheduledNumberOfPayments,"",ROW()-ROW(PaymentSchedule4[[#Headers],[PMT NO]])),"")</f>
        <v>166</v>
      </c>
      <c r="C181" s="31">
        <f>IF(PaymentSchedule4[[#This Row],[PMT NO]]&lt;&gt;"",EOMONTH(LoanStartDate,ROW(PaymentSchedule4[[#This Row],[PMT NO]])-ROW(PaymentSchedule4[[#Headers],[PMT NO]])-2)+DAY(LoanStartDate),"")</f>
        <v>48396</v>
      </c>
      <c r="D181" s="32">
        <f>IF(PaymentSchedule4[[#This Row],[PMT NO]]&lt;&gt;"",IF(ROW()-ROW(PaymentSchedule4[[#Headers],[BEGINNING BALANCE]])=1,LoanAmount,INDEX(PaymentSchedule4[ENDING BALANCE],ROW()-ROW(PaymentSchedule4[[#Headers],[BEGINNING BALANCE]])-1)),"")</f>
        <v>104992.14743810215</v>
      </c>
      <c r="E181" s="32">
        <f>IF(PaymentSchedule4[[#This Row],[PMT NO]]&lt;&gt;"",ScheduledPayment,"")</f>
        <v>760.02796473882097</v>
      </c>
      <c r="F18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8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81" s="32">
        <f>IF(PaymentSchedule4[[#This Row],[PMT NO]]&lt;&gt;"",PaymentSchedule4[[#This Row],[TOTAL PAYMENT]]-PaymentSchedule4[[#This Row],[INTEREST]],"")</f>
        <v>366.30741184593791</v>
      </c>
      <c r="I181" s="32">
        <f>IF(PaymentSchedule4[[#This Row],[PMT NO]]&lt;&gt;"",PaymentSchedule4[[#This Row],[BEGINNING BALANCE]]*(InterestRate/PaymentsPerYear),"")</f>
        <v>393.72055289288306</v>
      </c>
      <c r="J18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104625.84002625622</v>
      </c>
      <c r="K181" s="32">
        <f>IF(PaymentSchedule4[[#This Row],[PMT NO]]&lt;&gt;"",SUM(INDEX(PaymentSchedule4[INTEREST],1,1):PaymentSchedule4[[#This Row],[INTEREST]]),"")</f>
        <v>80790.482172900476</v>
      </c>
    </row>
    <row r="182" spans="2:11" x14ac:dyDescent="0.3">
      <c r="B182" s="30">
        <f>IF(LoanIsGood,IF(ROW()-ROW(PaymentSchedule4[[#Headers],[PMT NO]])&gt;ScheduledNumberOfPayments,"",ROW()-ROW(PaymentSchedule4[[#Headers],[PMT NO]])),"")</f>
        <v>167</v>
      </c>
      <c r="C182" s="31">
        <f>IF(PaymentSchedule4[[#This Row],[PMT NO]]&lt;&gt;"",EOMONTH(LoanStartDate,ROW(PaymentSchedule4[[#This Row],[PMT NO]])-ROW(PaymentSchedule4[[#Headers],[PMT NO]])-2)+DAY(LoanStartDate),"")</f>
        <v>48427</v>
      </c>
      <c r="D182" s="32">
        <f>IF(PaymentSchedule4[[#This Row],[PMT NO]]&lt;&gt;"",IF(ROW()-ROW(PaymentSchedule4[[#Headers],[BEGINNING BALANCE]])=1,LoanAmount,INDEX(PaymentSchedule4[ENDING BALANCE],ROW()-ROW(PaymentSchedule4[[#Headers],[BEGINNING BALANCE]])-1)),"")</f>
        <v>104625.84002625622</v>
      </c>
      <c r="E182" s="32">
        <f>IF(PaymentSchedule4[[#This Row],[PMT NO]]&lt;&gt;"",ScheduledPayment,"")</f>
        <v>760.02796473882097</v>
      </c>
      <c r="F18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8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82" s="32">
        <f>IF(PaymentSchedule4[[#This Row],[PMT NO]]&lt;&gt;"",PaymentSchedule4[[#This Row],[TOTAL PAYMENT]]-PaymentSchedule4[[#This Row],[INTEREST]],"")</f>
        <v>367.68106464036015</v>
      </c>
      <c r="I182" s="32">
        <f>IF(PaymentSchedule4[[#This Row],[PMT NO]]&lt;&gt;"",PaymentSchedule4[[#This Row],[BEGINNING BALANCE]]*(InterestRate/PaymentsPerYear),"")</f>
        <v>392.34690009846082</v>
      </c>
      <c r="J18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104258.15896161586</v>
      </c>
      <c r="K182" s="32">
        <f>IF(PaymentSchedule4[[#This Row],[PMT NO]]&lt;&gt;"",SUM(INDEX(PaymentSchedule4[INTEREST],1,1):PaymentSchedule4[[#This Row],[INTEREST]]),"")</f>
        <v>81182.829072998938</v>
      </c>
    </row>
    <row r="183" spans="2:11" x14ac:dyDescent="0.3">
      <c r="B183" s="30">
        <f>IF(LoanIsGood,IF(ROW()-ROW(PaymentSchedule4[[#Headers],[PMT NO]])&gt;ScheduledNumberOfPayments,"",ROW()-ROW(PaymentSchedule4[[#Headers],[PMT NO]])),"")</f>
        <v>168</v>
      </c>
      <c r="C183" s="31">
        <f>IF(PaymentSchedule4[[#This Row],[PMT NO]]&lt;&gt;"",EOMONTH(LoanStartDate,ROW(PaymentSchedule4[[#This Row],[PMT NO]])-ROW(PaymentSchedule4[[#Headers],[PMT NO]])-2)+DAY(LoanStartDate),"")</f>
        <v>48458</v>
      </c>
      <c r="D183" s="32">
        <f>IF(PaymentSchedule4[[#This Row],[PMT NO]]&lt;&gt;"",IF(ROW()-ROW(PaymentSchedule4[[#Headers],[BEGINNING BALANCE]])=1,LoanAmount,INDEX(PaymentSchedule4[ENDING BALANCE],ROW()-ROW(PaymentSchedule4[[#Headers],[BEGINNING BALANCE]])-1)),"")</f>
        <v>104258.15896161586</v>
      </c>
      <c r="E183" s="32">
        <f>IF(PaymentSchedule4[[#This Row],[PMT NO]]&lt;&gt;"",ScheduledPayment,"")</f>
        <v>760.02796473882097</v>
      </c>
      <c r="F18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8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83" s="32">
        <f>IF(PaymentSchedule4[[#This Row],[PMT NO]]&lt;&gt;"",PaymentSchedule4[[#This Row],[TOTAL PAYMENT]]-PaymentSchedule4[[#This Row],[INTEREST]],"")</f>
        <v>369.05986863276149</v>
      </c>
      <c r="I183" s="32">
        <f>IF(PaymentSchedule4[[#This Row],[PMT NO]]&lt;&gt;"",PaymentSchedule4[[#This Row],[BEGINNING BALANCE]]*(InterestRate/PaymentsPerYear),"")</f>
        <v>390.96809610605948</v>
      </c>
      <c r="J18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103889.0990929831</v>
      </c>
      <c r="K183" s="32">
        <f>IF(PaymentSchedule4[[#This Row],[PMT NO]]&lt;&gt;"",SUM(INDEX(PaymentSchedule4[INTEREST],1,1):PaymentSchedule4[[#This Row],[INTEREST]]),"")</f>
        <v>81573.797169105004</v>
      </c>
    </row>
    <row r="184" spans="2:11" x14ac:dyDescent="0.3">
      <c r="B184" s="30">
        <f>IF(LoanIsGood,IF(ROW()-ROW(PaymentSchedule4[[#Headers],[PMT NO]])&gt;ScheduledNumberOfPayments,"",ROW()-ROW(PaymentSchedule4[[#Headers],[PMT NO]])),"")</f>
        <v>169</v>
      </c>
      <c r="C184" s="31">
        <f>IF(PaymentSchedule4[[#This Row],[PMT NO]]&lt;&gt;"",EOMONTH(LoanStartDate,ROW(PaymentSchedule4[[#This Row],[PMT NO]])-ROW(PaymentSchedule4[[#Headers],[PMT NO]])-2)+DAY(LoanStartDate),"")</f>
        <v>48488</v>
      </c>
      <c r="D184" s="32">
        <f>IF(PaymentSchedule4[[#This Row],[PMT NO]]&lt;&gt;"",IF(ROW()-ROW(PaymentSchedule4[[#Headers],[BEGINNING BALANCE]])=1,LoanAmount,INDEX(PaymentSchedule4[ENDING BALANCE],ROW()-ROW(PaymentSchedule4[[#Headers],[BEGINNING BALANCE]])-1)),"")</f>
        <v>103889.0990929831</v>
      </c>
      <c r="E184" s="32">
        <f>IF(PaymentSchedule4[[#This Row],[PMT NO]]&lt;&gt;"",ScheduledPayment,"")</f>
        <v>760.02796473882097</v>
      </c>
      <c r="F18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8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84" s="32">
        <f>IF(PaymentSchedule4[[#This Row],[PMT NO]]&lt;&gt;"",PaymentSchedule4[[#This Row],[TOTAL PAYMENT]]-PaymentSchedule4[[#This Row],[INTEREST]],"")</f>
        <v>370.44384314013433</v>
      </c>
      <c r="I184" s="32">
        <f>IF(PaymentSchedule4[[#This Row],[PMT NO]]&lt;&gt;"",PaymentSchedule4[[#This Row],[BEGINNING BALANCE]]*(InterestRate/PaymentsPerYear),"")</f>
        <v>389.58412159868664</v>
      </c>
      <c r="J18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103518.65524984297</v>
      </c>
      <c r="K184" s="32">
        <f>IF(PaymentSchedule4[[#This Row],[PMT NO]]&lt;&gt;"",SUM(INDEX(PaymentSchedule4[INTEREST],1,1):PaymentSchedule4[[#This Row],[INTEREST]]),"")</f>
        <v>81963.381290703692</v>
      </c>
    </row>
    <row r="185" spans="2:11" x14ac:dyDescent="0.3">
      <c r="B185" s="30">
        <f>IF(LoanIsGood,IF(ROW()-ROW(PaymentSchedule4[[#Headers],[PMT NO]])&gt;ScheduledNumberOfPayments,"",ROW()-ROW(PaymentSchedule4[[#Headers],[PMT NO]])),"")</f>
        <v>170</v>
      </c>
      <c r="C185" s="31">
        <f>IF(PaymentSchedule4[[#This Row],[PMT NO]]&lt;&gt;"",EOMONTH(LoanStartDate,ROW(PaymentSchedule4[[#This Row],[PMT NO]])-ROW(PaymentSchedule4[[#Headers],[PMT NO]])-2)+DAY(LoanStartDate),"")</f>
        <v>48519</v>
      </c>
      <c r="D185" s="32">
        <f>IF(PaymentSchedule4[[#This Row],[PMT NO]]&lt;&gt;"",IF(ROW()-ROW(PaymentSchedule4[[#Headers],[BEGINNING BALANCE]])=1,LoanAmount,INDEX(PaymentSchedule4[ENDING BALANCE],ROW()-ROW(PaymentSchedule4[[#Headers],[BEGINNING BALANCE]])-1)),"")</f>
        <v>103518.65524984297</v>
      </c>
      <c r="E185" s="32">
        <f>IF(PaymentSchedule4[[#This Row],[PMT NO]]&lt;&gt;"",ScheduledPayment,"")</f>
        <v>760.02796473882097</v>
      </c>
      <c r="F18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8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85" s="32">
        <f>IF(PaymentSchedule4[[#This Row],[PMT NO]]&lt;&gt;"",PaymentSchedule4[[#This Row],[TOTAL PAYMENT]]-PaymentSchedule4[[#This Row],[INTEREST]],"")</f>
        <v>371.83300755190987</v>
      </c>
      <c r="I185" s="32">
        <f>IF(PaymentSchedule4[[#This Row],[PMT NO]]&lt;&gt;"",PaymentSchedule4[[#This Row],[BEGINNING BALANCE]]*(InterestRate/PaymentsPerYear),"")</f>
        <v>388.1949571869111</v>
      </c>
      <c r="J18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103146.82224229106</v>
      </c>
      <c r="K185" s="32">
        <f>IF(PaymentSchedule4[[#This Row],[PMT NO]]&lt;&gt;"",SUM(INDEX(PaymentSchedule4[INTEREST],1,1):PaymentSchedule4[[#This Row],[INTEREST]]),"")</f>
        <v>82351.576247890596</v>
      </c>
    </row>
    <row r="186" spans="2:11" x14ac:dyDescent="0.3">
      <c r="B186" s="30">
        <f>IF(LoanIsGood,IF(ROW()-ROW(PaymentSchedule4[[#Headers],[PMT NO]])&gt;ScheduledNumberOfPayments,"",ROW()-ROW(PaymentSchedule4[[#Headers],[PMT NO]])),"")</f>
        <v>171</v>
      </c>
      <c r="C186" s="31">
        <f>IF(PaymentSchedule4[[#This Row],[PMT NO]]&lt;&gt;"",EOMONTH(LoanStartDate,ROW(PaymentSchedule4[[#This Row],[PMT NO]])-ROW(PaymentSchedule4[[#Headers],[PMT NO]])-2)+DAY(LoanStartDate),"")</f>
        <v>48549</v>
      </c>
      <c r="D186" s="32">
        <f>IF(PaymentSchedule4[[#This Row],[PMT NO]]&lt;&gt;"",IF(ROW()-ROW(PaymentSchedule4[[#Headers],[BEGINNING BALANCE]])=1,LoanAmount,INDEX(PaymentSchedule4[ENDING BALANCE],ROW()-ROW(PaymentSchedule4[[#Headers],[BEGINNING BALANCE]])-1)),"")</f>
        <v>103146.82224229106</v>
      </c>
      <c r="E186" s="32">
        <f>IF(PaymentSchedule4[[#This Row],[PMT NO]]&lt;&gt;"",ScheduledPayment,"")</f>
        <v>760.02796473882097</v>
      </c>
      <c r="F18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8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86" s="32">
        <f>IF(PaymentSchedule4[[#This Row],[PMT NO]]&lt;&gt;"",PaymentSchedule4[[#This Row],[TOTAL PAYMENT]]-PaymentSchedule4[[#This Row],[INTEREST]],"")</f>
        <v>373.22738133022949</v>
      </c>
      <c r="I186" s="32">
        <f>IF(PaymentSchedule4[[#This Row],[PMT NO]]&lt;&gt;"",PaymentSchedule4[[#This Row],[BEGINNING BALANCE]]*(InterestRate/PaymentsPerYear),"")</f>
        <v>386.80058340859148</v>
      </c>
      <c r="J18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102773.59486096083</v>
      </c>
      <c r="K186" s="32">
        <f>IF(PaymentSchedule4[[#This Row],[PMT NO]]&lt;&gt;"",SUM(INDEX(PaymentSchedule4[INTEREST],1,1):PaymentSchedule4[[#This Row],[INTEREST]]),"")</f>
        <v>82738.376831299189</v>
      </c>
    </row>
    <row r="187" spans="2:11" x14ac:dyDescent="0.3">
      <c r="B187" s="30">
        <f>IF(LoanIsGood,IF(ROW()-ROW(PaymentSchedule4[[#Headers],[PMT NO]])&gt;ScheduledNumberOfPayments,"",ROW()-ROW(PaymentSchedule4[[#Headers],[PMT NO]])),"")</f>
        <v>172</v>
      </c>
      <c r="C187" s="31">
        <f>IF(PaymentSchedule4[[#This Row],[PMT NO]]&lt;&gt;"",EOMONTH(LoanStartDate,ROW(PaymentSchedule4[[#This Row],[PMT NO]])-ROW(PaymentSchedule4[[#Headers],[PMT NO]])-2)+DAY(LoanStartDate),"")</f>
        <v>48580</v>
      </c>
      <c r="D187" s="32">
        <f>IF(PaymentSchedule4[[#This Row],[PMT NO]]&lt;&gt;"",IF(ROW()-ROW(PaymentSchedule4[[#Headers],[BEGINNING BALANCE]])=1,LoanAmount,INDEX(PaymentSchedule4[ENDING BALANCE],ROW()-ROW(PaymentSchedule4[[#Headers],[BEGINNING BALANCE]])-1)),"")</f>
        <v>102773.59486096083</v>
      </c>
      <c r="E187" s="32">
        <f>IF(PaymentSchedule4[[#This Row],[PMT NO]]&lt;&gt;"",ScheduledPayment,"")</f>
        <v>760.02796473882097</v>
      </c>
      <c r="F18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8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87" s="32">
        <f>IF(PaymentSchedule4[[#This Row],[PMT NO]]&lt;&gt;"",PaymentSchedule4[[#This Row],[TOTAL PAYMENT]]-PaymentSchedule4[[#This Row],[INTEREST]],"")</f>
        <v>374.62698401021788</v>
      </c>
      <c r="I187" s="32">
        <f>IF(PaymentSchedule4[[#This Row],[PMT NO]]&lt;&gt;"",PaymentSchedule4[[#This Row],[BEGINNING BALANCE]]*(InterestRate/PaymentsPerYear),"")</f>
        <v>385.40098072860309</v>
      </c>
      <c r="J18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102398.96787695061</v>
      </c>
      <c r="K187" s="32">
        <f>IF(PaymentSchedule4[[#This Row],[PMT NO]]&lt;&gt;"",SUM(INDEX(PaymentSchedule4[INTEREST],1,1):PaymentSchedule4[[#This Row],[INTEREST]]),"")</f>
        <v>83123.777812027794</v>
      </c>
    </row>
    <row r="188" spans="2:11" x14ac:dyDescent="0.3">
      <c r="B188" s="30">
        <f>IF(LoanIsGood,IF(ROW()-ROW(PaymentSchedule4[[#Headers],[PMT NO]])&gt;ScheduledNumberOfPayments,"",ROW()-ROW(PaymentSchedule4[[#Headers],[PMT NO]])),"")</f>
        <v>173</v>
      </c>
      <c r="C188" s="31">
        <f>IF(PaymentSchedule4[[#This Row],[PMT NO]]&lt;&gt;"",EOMONTH(LoanStartDate,ROW(PaymentSchedule4[[#This Row],[PMT NO]])-ROW(PaymentSchedule4[[#Headers],[PMT NO]])-2)+DAY(LoanStartDate),"")</f>
        <v>48611</v>
      </c>
      <c r="D188" s="32">
        <f>IF(PaymentSchedule4[[#This Row],[PMT NO]]&lt;&gt;"",IF(ROW()-ROW(PaymentSchedule4[[#Headers],[BEGINNING BALANCE]])=1,LoanAmount,INDEX(PaymentSchedule4[ENDING BALANCE],ROW()-ROW(PaymentSchedule4[[#Headers],[BEGINNING BALANCE]])-1)),"")</f>
        <v>102398.96787695061</v>
      </c>
      <c r="E188" s="32">
        <f>IF(PaymentSchedule4[[#This Row],[PMT NO]]&lt;&gt;"",ScheduledPayment,"")</f>
        <v>760.02796473882097</v>
      </c>
      <c r="F18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8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88" s="32">
        <f>IF(PaymentSchedule4[[#This Row],[PMT NO]]&lt;&gt;"",PaymentSchedule4[[#This Row],[TOTAL PAYMENT]]-PaymentSchedule4[[#This Row],[INTEREST]],"")</f>
        <v>376.03183520025618</v>
      </c>
      <c r="I188" s="32">
        <f>IF(PaymentSchedule4[[#This Row],[PMT NO]]&lt;&gt;"",PaymentSchedule4[[#This Row],[BEGINNING BALANCE]]*(InterestRate/PaymentsPerYear),"")</f>
        <v>383.99612953856479</v>
      </c>
      <c r="J18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102022.93604175036</v>
      </c>
      <c r="K188" s="32">
        <f>IF(PaymentSchedule4[[#This Row],[PMT NO]]&lt;&gt;"",SUM(INDEX(PaymentSchedule4[INTEREST],1,1):PaymentSchedule4[[#This Row],[INTEREST]]),"")</f>
        <v>83507.773941566353</v>
      </c>
    </row>
    <row r="189" spans="2:11" x14ac:dyDescent="0.3">
      <c r="B189" s="30">
        <f>IF(LoanIsGood,IF(ROW()-ROW(PaymentSchedule4[[#Headers],[PMT NO]])&gt;ScheduledNumberOfPayments,"",ROW()-ROW(PaymentSchedule4[[#Headers],[PMT NO]])),"")</f>
        <v>174</v>
      </c>
      <c r="C189" s="31">
        <f>IF(PaymentSchedule4[[#This Row],[PMT NO]]&lt;&gt;"",EOMONTH(LoanStartDate,ROW(PaymentSchedule4[[#This Row],[PMT NO]])-ROW(PaymentSchedule4[[#Headers],[PMT NO]])-2)+DAY(LoanStartDate),"")</f>
        <v>48639</v>
      </c>
      <c r="D189" s="32">
        <f>IF(PaymentSchedule4[[#This Row],[PMT NO]]&lt;&gt;"",IF(ROW()-ROW(PaymentSchedule4[[#Headers],[BEGINNING BALANCE]])=1,LoanAmount,INDEX(PaymentSchedule4[ENDING BALANCE],ROW()-ROW(PaymentSchedule4[[#Headers],[BEGINNING BALANCE]])-1)),"")</f>
        <v>102022.93604175036</v>
      </c>
      <c r="E189" s="32">
        <f>IF(PaymentSchedule4[[#This Row],[PMT NO]]&lt;&gt;"",ScheduledPayment,"")</f>
        <v>760.02796473882097</v>
      </c>
      <c r="F18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8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89" s="32">
        <f>IF(PaymentSchedule4[[#This Row],[PMT NO]]&lt;&gt;"",PaymentSchedule4[[#This Row],[TOTAL PAYMENT]]-PaymentSchedule4[[#This Row],[INTEREST]],"")</f>
        <v>377.4419545822571</v>
      </c>
      <c r="I189" s="32">
        <f>IF(PaymentSchedule4[[#This Row],[PMT NO]]&lt;&gt;"",PaymentSchedule4[[#This Row],[BEGINNING BALANCE]]*(InterestRate/PaymentsPerYear),"")</f>
        <v>382.58601015656387</v>
      </c>
      <c r="J18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101645.4940871681</v>
      </c>
      <c r="K189" s="32">
        <f>IF(PaymentSchedule4[[#This Row],[PMT NO]]&lt;&gt;"",SUM(INDEX(PaymentSchedule4[INTEREST],1,1):PaymentSchedule4[[#This Row],[INTEREST]]),"")</f>
        <v>83890.359951722916</v>
      </c>
    </row>
    <row r="190" spans="2:11" x14ac:dyDescent="0.3">
      <c r="B190" s="30">
        <f>IF(LoanIsGood,IF(ROW()-ROW(PaymentSchedule4[[#Headers],[PMT NO]])&gt;ScheduledNumberOfPayments,"",ROW()-ROW(PaymentSchedule4[[#Headers],[PMT NO]])),"")</f>
        <v>175</v>
      </c>
      <c r="C190" s="31">
        <f>IF(PaymentSchedule4[[#This Row],[PMT NO]]&lt;&gt;"",EOMONTH(LoanStartDate,ROW(PaymentSchedule4[[#This Row],[PMT NO]])-ROW(PaymentSchedule4[[#Headers],[PMT NO]])-2)+DAY(LoanStartDate),"")</f>
        <v>48670</v>
      </c>
      <c r="D190" s="32">
        <f>IF(PaymentSchedule4[[#This Row],[PMT NO]]&lt;&gt;"",IF(ROW()-ROW(PaymentSchedule4[[#Headers],[BEGINNING BALANCE]])=1,LoanAmount,INDEX(PaymentSchedule4[ENDING BALANCE],ROW()-ROW(PaymentSchedule4[[#Headers],[BEGINNING BALANCE]])-1)),"")</f>
        <v>101645.4940871681</v>
      </c>
      <c r="E190" s="32">
        <f>IF(PaymentSchedule4[[#This Row],[PMT NO]]&lt;&gt;"",ScheduledPayment,"")</f>
        <v>760.02796473882097</v>
      </c>
      <c r="F19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9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90" s="32">
        <f>IF(PaymentSchedule4[[#This Row],[PMT NO]]&lt;&gt;"",PaymentSchedule4[[#This Row],[TOTAL PAYMENT]]-PaymentSchedule4[[#This Row],[INTEREST]],"")</f>
        <v>378.85736191194059</v>
      </c>
      <c r="I190" s="32">
        <f>IF(PaymentSchedule4[[#This Row],[PMT NO]]&lt;&gt;"",PaymentSchedule4[[#This Row],[BEGINNING BALANCE]]*(InterestRate/PaymentsPerYear),"")</f>
        <v>381.17060282688038</v>
      </c>
      <c r="J19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101266.63672525616</v>
      </c>
      <c r="K190" s="32">
        <f>IF(PaymentSchedule4[[#This Row],[PMT NO]]&lt;&gt;"",SUM(INDEX(PaymentSchedule4[INTEREST],1,1):PaymentSchedule4[[#This Row],[INTEREST]]),"")</f>
        <v>84271.530554549798</v>
      </c>
    </row>
    <row r="191" spans="2:11" x14ac:dyDescent="0.3">
      <c r="B191" s="30">
        <f>IF(LoanIsGood,IF(ROW()-ROW(PaymentSchedule4[[#Headers],[PMT NO]])&gt;ScheduledNumberOfPayments,"",ROW()-ROW(PaymentSchedule4[[#Headers],[PMT NO]])),"")</f>
        <v>176</v>
      </c>
      <c r="C191" s="31">
        <f>IF(PaymentSchedule4[[#This Row],[PMT NO]]&lt;&gt;"",EOMONTH(LoanStartDate,ROW(PaymentSchedule4[[#This Row],[PMT NO]])-ROW(PaymentSchedule4[[#Headers],[PMT NO]])-2)+DAY(LoanStartDate),"")</f>
        <v>48700</v>
      </c>
      <c r="D191" s="32">
        <f>IF(PaymentSchedule4[[#This Row],[PMT NO]]&lt;&gt;"",IF(ROW()-ROW(PaymentSchedule4[[#Headers],[BEGINNING BALANCE]])=1,LoanAmount,INDEX(PaymentSchedule4[ENDING BALANCE],ROW()-ROW(PaymentSchedule4[[#Headers],[BEGINNING BALANCE]])-1)),"")</f>
        <v>101266.63672525616</v>
      </c>
      <c r="E191" s="32">
        <f>IF(PaymentSchedule4[[#This Row],[PMT NO]]&lt;&gt;"",ScheduledPayment,"")</f>
        <v>760.02796473882097</v>
      </c>
      <c r="F19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9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91" s="32">
        <f>IF(PaymentSchedule4[[#This Row],[PMT NO]]&lt;&gt;"",PaymentSchedule4[[#This Row],[TOTAL PAYMENT]]-PaymentSchedule4[[#This Row],[INTEREST]],"")</f>
        <v>380.27807701911036</v>
      </c>
      <c r="I191" s="32">
        <f>IF(PaymentSchedule4[[#This Row],[PMT NO]]&lt;&gt;"",PaymentSchedule4[[#This Row],[BEGINNING BALANCE]]*(InterestRate/PaymentsPerYear),"")</f>
        <v>379.74988771971061</v>
      </c>
      <c r="J19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100886.35864823704</v>
      </c>
      <c r="K191" s="32">
        <f>IF(PaymentSchedule4[[#This Row],[PMT NO]]&lt;&gt;"",SUM(INDEX(PaymentSchedule4[INTEREST],1,1):PaymentSchedule4[[#This Row],[INTEREST]]),"")</f>
        <v>84651.280442269504</v>
      </c>
    </row>
    <row r="192" spans="2:11" x14ac:dyDescent="0.3">
      <c r="B192" s="30">
        <f>IF(LoanIsGood,IF(ROW()-ROW(PaymentSchedule4[[#Headers],[PMT NO]])&gt;ScheduledNumberOfPayments,"",ROW()-ROW(PaymentSchedule4[[#Headers],[PMT NO]])),"")</f>
        <v>177</v>
      </c>
      <c r="C192" s="31">
        <f>IF(PaymentSchedule4[[#This Row],[PMT NO]]&lt;&gt;"",EOMONTH(LoanStartDate,ROW(PaymentSchedule4[[#This Row],[PMT NO]])-ROW(PaymentSchedule4[[#Headers],[PMT NO]])-2)+DAY(LoanStartDate),"")</f>
        <v>48731</v>
      </c>
      <c r="D192" s="32">
        <f>IF(PaymentSchedule4[[#This Row],[PMT NO]]&lt;&gt;"",IF(ROW()-ROW(PaymentSchedule4[[#Headers],[BEGINNING BALANCE]])=1,LoanAmount,INDEX(PaymentSchedule4[ENDING BALANCE],ROW()-ROW(PaymentSchedule4[[#Headers],[BEGINNING BALANCE]])-1)),"")</f>
        <v>100886.35864823704</v>
      </c>
      <c r="E192" s="32">
        <f>IF(PaymentSchedule4[[#This Row],[PMT NO]]&lt;&gt;"",ScheduledPayment,"")</f>
        <v>760.02796473882097</v>
      </c>
      <c r="F19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9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92" s="32">
        <f>IF(PaymentSchedule4[[#This Row],[PMT NO]]&lt;&gt;"",PaymentSchedule4[[#This Row],[TOTAL PAYMENT]]-PaymentSchedule4[[#This Row],[INTEREST]],"")</f>
        <v>381.70411980793205</v>
      </c>
      <c r="I192" s="32">
        <f>IF(PaymentSchedule4[[#This Row],[PMT NO]]&lt;&gt;"",PaymentSchedule4[[#This Row],[BEGINNING BALANCE]]*(InterestRate/PaymentsPerYear),"")</f>
        <v>378.32384493088892</v>
      </c>
      <c r="J19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100504.65452842911</v>
      </c>
      <c r="K192" s="32">
        <f>IF(PaymentSchedule4[[#This Row],[PMT NO]]&lt;&gt;"",SUM(INDEX(PaymentSchedule4[INTEREST],1,1):PaymentSchedule4[[#This Row],[INTEREST]]),"")</f>
        <v>85029.604287200389</v>
      </c>
    </row>
    <row r="193" spans="2:11" x14ac:dyDescent="0.3">
      <c r="B193" s="30">
        <f>IF(LoanIsGood,IF(ROW()-ROW(PaymentSchedule4[[#Headers],[PMT NO]])&gt;ScheduledNumberOfPayments,"",ROW()-ROW(PaymentSchedule4[[#Headers],[PMT NO]])),"")</f>
        <v>178</v>
      </c>
      <c r="C193" s="31">
        <f>IF(PaymentSchedule4[[#This Row],[PMT NO]]&lt;&gt;"",EOMONTH(LoanStartDate,ROW(PaymentSchedule4[[#This Row],[PMT NO]])-ROW(PaymentSchedule4[[#Headers],[PMT NO]])-2)+DAY(LoanStartDate),"")</f>
        <v>48761</v>
      </c>
      <c r="D193" s="32">
        <f>IF(PaymentSchedule4[[#This Row],[PMT NO]]&lt;&gt;"",IF(ROW()-ROW(PaymentSchedule4[[#Headers],[BEGINNING BALANCE]])=1,LoanAmount,INDEX(PaymentSchedule4[ENDING BALANCE],ROW()-ROW(PaymentSchedule4[[#Headers],[BEGINNING BALANCE]])-1)),"")</f>
        <v>100504.65452842911</v>
      </c>
      <c r="E193" s="32">
        <f>IF(PaymentSchedule4[[#This Row],[PMT NO]]&lt;&gt;"",ScheduledPayment,"")</f>
        <v>760.02796473882097</v>
      </c>
      <c r="F19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9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93" s="32">
        <f>IF(PaymentSchedule4[[#This Row],[PMT NO]]&lt;&gt;"",PaymentSchedule4[[#This Row],[TOTAL PAYMENT]]-PaymentSchedule4[[#This Row],[INTEREST]],"")</f>
        <v>383.13551025721182</v>
      </c>
      <c r="I193" s="32">
        <f>IF(PaymentSchedule4[[#This Row],[PMT NO]]&lt;&gt;"",PaymentSchedule4[[#This Row],[BEGINNING BALANCE]]*(InterestRate/PaymentsPerYear),"")</f>
        <v>376.89245448160915</v>
      </c>
      <c r="J19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100121.51901817189</v>
      </c>
      <c r="K193" s="32">
        <f>IF(PaymentSchedule4[[#This Row],[PMT NO]]&lt;&gt;"",SUM(INDEX(PaymentSchedule4[INTEREST],1,1):PaymentSchedule4[[#This Row],[INTEREST]]),"")</f>
        <v>85406.496741682</v>
      </c>
    </row>
    <row r="194" spans="2:11" x14ac:dyDescent="0.3">
      <c r="B194" s="30">
        <f>IF(LoanIsGood,IF(ROW()-ROW(PaymentSchedule4[[#Headers],[PMT NO]])&gt;ScheduledNumberOfPayments,"",ROW()-ROW(PaymentSchedule4[[#Headers],[PMT NO]])),"")</f>
        <v>179</v>
      </c>
      <c r="C194" s="31">
        <f>IF(PaymentSchedule4[[#This Row],[PMT NO]]&lt;&gt;"",EOMONTH(LoanStartDate,ROW(PaymentSchedule4[[#This Row],[PMT NO]])-ROW(PaymentSchedule4[[#Headers],[PMT NO]])-2)+DAY(LoanStartDate),"")</f>
        <v>48792</v>
      </c>
      <c r="D194" s="32">
        <f>IF(PaymentSchedule4[[#This Row],[PMT NO]]&lt;&gt;"",IF(ROW()-ROW(PaymentSchedule4[[#Headers],[BEGINNING BALANCE]])=1,LoanAmount,INDEX(PaymentSchedule4[ENDING BALANCE],ROW()-ROW(PaymentSchedule4[[#Headers],[BEGINNING BALANCE]])-1)),"")</f>
        <v>100121.51901817189</v>
      </c>
      <c r="E194" s="32">
        <f>IF(PaymentSchedule4[[#This Row],[PMT NO]]&lt;&gt;"",ScheduledPayment,"")</f>
        <v>760.02796473882097</v>
      </c>
      <c r="F19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9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94" s="32">
        <f>IF(PaymentSchedule4[[#This Row],[PMT NO]]&lt;&gt;"",PaymentSchedule4[[#This Row],[TOTAL PAYMENT]]-PaymentSchedule4[[#This Row],[INTEREST]],"")</f>
        <v>384.57226842067638</v>
      </c>
      <c r="I194" s="32">
        <f>IF(PaymentSchedule4[[#This Row],[PMT NO]]&lt;&gt;"",PaymentSchedule4[[#This Row],[BEGINNING BALANCE]]*(InterestRate/PaymentsPerYear),"")</f>
        <v>375.45569631814459</v>
      </c>
      <c r="J19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99736.946749751223</v>
      </c>
      <c r="K194" s="32">
        <f>IF(PaymentSchedule4[[#This Row],[PMT NO]]&lt;&gt;"",SUM(INDEX(PaymentSchedule4[INTEREST],1,1):PaymentSchedule4[[#This Row],[INTEREST]]),"")</f>
        <v>85781.952438000138</v>
      </c>
    </row>
    <row r="195" spans="2:11" x14ac:dyDescent="0.3">
      <c r="B195" s="30">
        <f>IF(LoanIsGood,IF(ROW()-ROW(PaymentSchedule4[[#Headers],[PMT NO]])&gt;ScheduledNumberOfPayments,"",ROW()-ROW(PaymentSchedule4[[#Headers],[PMT NO]])),"")</f>
        <v>180</v>
      </c>
      <c r="C195" s="31">
        <f>IF(PaymentSchedule4[[#This Row],[PMT NO]]&lt;&gt;"",EOMONTH(LoanStartDate,ROW(PaymentSchedule4[[#This Row],[PMT NO]])-ROW(PaymentSchedule4[[#Headers],[PMT NO]])-2)+DAY(LoanStartDate),"")</f>
        <v>48823</v>
      </c>
      <c r="D195" s="32">
        <f>IF(PaymentSchedule4[[#This Row],[PMT NO]]&lt;&gt;"",IF(ROW()-ROW(PaymentSchedule4[[#Headers],[BEGINNING BALANCE]])=1,LoanAmount,INDEX(PaymentSchedule4[ENDING BALANCE],ROW()-ROW(PaymentSchedule4[[#Headers],[BEGINNING BALANCE]])-1)),"")</f>
        <v>99736.946749751223</v>
      </c>
      <c r="E195" s="32">
        <f>IF(PaymentSchedule4[[#This Row],[PMT NO]]&lt;&gt;"",ScheduledPayment,"")</f>
        <v>760.02796473882097</v>
      </c>
      <c r="F19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9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95" s="32">
        <f>IF(PaymentSchedule4[[#This Row],[PMT NO]]&lt;&gt;"",PaymentSchedule4[[#This Row],[TOTAL PAYMENT]]-PaymentSchedule4[[#This Row],[INTEREST]],"")</f>
        <v>386.01441442725388</v>
      </c>
      <c r="I195" s="32">
        <f>IF(PaymentSchedule4[[#This Row],[PMT NO]]&lt;&gt;"",PaymentSchedule4[[#This Row],[BEGINNING BALANCE]]*(InterestRate/PaymentsPerYear),"")</f>
        <v>374.01355031156709</v>
      </c>
      <c r="J19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99350.932335323974</v>
      </c>
      <c r="K195" s="32">
        <f>IF(PaymentSchedule4[[#This Row],[PMT NO]]&lt;&gt;"",SUM(INDEX(PaymentSchedule4[INTEREST],1,1):PaymentSchedule4[[#This Row],[INTEREST]]),"")</f>
        <v>86155.965988311713</v>
      </c>
    </row>
    <row r="196" spans="2:11" x14ac:dyDescent="0.3">
      <c r="B196" s="30">
        <f>IF(LoanIsGood,IF(ROW()-ROW(PaymentSchedule4[[#Headers],[PMT NO]])&gt;ScheduledNumberOfPayments,"",ROW()-ROW(PaymentSchedule4[[#Headers],[PMT NO]])),"")</f>
        <v>181</v>
      </c>
      <c r="C196" s="31">
        <f>IF(PaymentSchedule4[[#This Row],[PMT NO]]&lt;&gt;"",EOMONTH(LoanStartDate,ROW(PaymentSchedule4[[#This Row],[PMT NO]])-ROW(PaymentSchedule4[[#Headers],[PMT NO]])-2)+DAY(LoanStartDate),"")</f>
        <v>48853</v>
      </c>
      <c r="D196" s="32">
        <f>IF(PaymentSchedule4[[#This Row],[PMT NO]]&lt;&gt;"",IF(ROW()-ROW(PaymentSchedule4[[#Headers],[BEGINNING BALANCE]])=1,LoanAmount,INDEX(PaymentSchedule4[ENDING BALANCE],ROW()-ROW(PaymentSchedule4[[#Headers],[BEGINNING BALANCE]])-1)),"")</f>
        <v>99350.932335323974</v>
      </c>
      <c r="E196" s="32">
        <f>IF(PaymentSchedule4[[#This Row],[PMT NO]]&lt;&gt;"",ScheduledPayment,"")</f>
        <v>760.02796473882097</v>
      </c>
      <c r="F19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9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96" s="32">
        <f>IF(PaymentSchedule4[[#This Row],[PMT NO]]&lt;&gt;"",PaymentSchedule4[[#This Row],[TOTAL PAYMENT]]-PaymentSchedule4[[#This Row],[INTEREST]],"")</f>
        <v>387.46196848135605</v>
      </c>
      <c r="I196" s="32">
        <f>IF(PaymentSchedule4[[#This Row],[PMT NO]]&lt;&gt;"",PaymentSchedule4[[#This Row],[BEGINNING BALANCE]]*(InterestRate/PaymentsPerYear),"")</f>
        <v>372.56599625746492</v>
      </c>
      <c r="J19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98963.470366842623</v>
      </c>
      <c r="K196" s="32">
        <f>IF(PaymentSchedule4[[#This Row],[PMT NO]]&lt;&gt;"",SUM(INDEX(PaymentSchedule4[INTEREST],1,1):PaymentSchedule4[[#This Row],[INTEREST]]),"")</f>
        <v>86528.531984569185</v>
      </c>
    </row>
    <row r="197" spans="2:11" x14ac:dyDescent="0.3">
      <c r="B197" s="30">
        <f>IF(LoanIsGood,IF(ROW()-ROW(PaymentSchedule4[[#Headers],[PMT NO]])&gt;ScheduledNumberOfPayments,"",ROW()-ROW(PaymentSchedule4[[#Headers],[PMT NO]])),"")</f>
        <v>182</v>
      </c>
      <c r="C197" s="31">
        <f>IF(PaymentSchedule4[[#This Row],[PMT NO]]&lt;&gt;"",EOMONTH(LoanStartDate,ROW(PaymentSchedule4[[#This Row],[PMT NO]])-ROW(PaymentSchedule4[[#Headers],[PMT NO]])-2)+DAY(LoanStartDate),"")</f>
        <v>48884</v>
      </c>
      <c r="D197" s="32">
        <f>IF(PaymentSchedule4[[#This Row],[PMT NO]]&lt;&gt;"",IF(ROW()-ROW(PaymentSchedule4[[#Headers],[BEGINNING BALANCE]])=1,LoanAmount,INDEX(PaymentSchedule4[ENDING BALANCE],ROW()-ROW(PaymentSchedule4[[#Headers],[BEGINNING BALANCE]])-1)),"")</f>
        <v>98963.470366842623</v>
      </c>
      <c r="E197" s="32">
        <f>IF(PaymentSchedule4[[#This Row],[PMT NO]]&lt;&gt;"",ScheduledPayment,"")</f>
        <v>760.02796473882097</v>
      </c>
      <c r="F19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9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97" s="32">
        <f>IF(PaymentSchedule4[[#This Row],[PMT NO]]&lt;&gt;"",PaymentSchedule4[[#This Row],[TOTAL PAYMENT]]-PaymentSchedule4[[#This Row],[INTEREST]],"")</f>
        <v>388.91495086316115</v>
      </c>
      <c r="I197" s="32">
        <f>IF(PaymentSchedule4[[#This Row],[PMT NO]]&lt;&gt;"",PaymentSchedule4[[#This Row],[BEGINNING BALANCE]]*(InterestRate/PaymentsPerYear),"")</f>
        <v>371.11301387565982</v>
      </c>
      <c r="J19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98574.555415979456</v>
      </c>
      <c r="K197" s="32">
        <f>IF(PaymentSchedule4[[#This Row],[PMT NO]]&lt;&gt;"",SUM(INDEX(PaymentSchedule4[INTEREST],1,1):PaymentSchedule4[[#This Row],[INTEREST]]),"")</f>
        <v>86899.644998444841</v>
      </c>
    </row>
    <row r="198" spans="2:11" x14ac:dyDescent="0.3">
      <c r="B198" s="30">
        <f>IF(LoanIsGood,IF(ROW()-ROW(PaymentSchedule4[[#Headers],[PMT NO]])&gt;ScheduledNumberOfPayments,"",ROW()-ROW(PaymentSchedule4[[#Headers],[PMT NO]])),"")</f>
        <v>183</v>
      </c>
      <c r="C198" s="31">
        <f>IF(PaymentSchedule4[[#This Row],[PMT NO]]&lt;&gt;"",EOMONTH(LoanStartDate,ROW(PaymentSchedule4[[#This Row],[PMT NO]])-ROW(PaymentSchedule4[[#Headers],[PMT NO]])-2)+DAY(LoanStartDate),"")</f>
        <v>48914</v>
      </c>
      <c r="D198" s="32">
        <f>IF(PaymentSchedule4[[#This Row],[PMT NO]]&lt;&gt;"",IF(ROW()-ROW(PaymentSchedule4[[#Headers],[BEGINNING BALANCE]])=1,LoanAmount,INDEX(PaymentSchedule4[ENDING BALANCE],ROW()-ROW(PaymentSchedule4[[#Headers],[BEGINNING BALANCE]])-1)),"")</f>
        <v>98574.555415979456</v>
      </c>
      <c r="E198" s="32">
        <f>IF(PaymentSchedule4[[#This Row],[PMT NO]]&lt;&gt;"",ScheduledPayment,"")</f>
        <v>760.02796473882097</v>
      </c>
      <c r="F19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9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98" s="32">
        <f>IF(PaymentSchedule4[[#This Row],[PMT NO]]&lt;&gt;"",PaymentSchedule4[[#This Row],[TOTAL PAYMENT]]-PaymentSchedule4[[#This Row],[INTEREST]],"")</f>
        <v>390.37338192889803</v>
      </c>
      <c r="I198" s="32">
        <f>IF(PaymentSchedule4[[#This Row],[PMT NO]]&lt;&gt;"",PaymentSchedule4[[#This Row],[BEGINNING BALANCE]]*(InterestRate/PaymentsPerYear),"")</f>
        <v>369.65458280992294</v>
      </c>
      <c r="J19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98184.182034050551</v>
      </c>
      <c r="K198" s="32">
        <f>IF(PaymentSchedule4[[#This Row],[PMT NO]]&lt;&gt;"",SUM(INDEX(PaymentSchedule4[INTEREST],1,1):PaymentSchedule4[[#This Row],[INTEREST]]),"")</f>
        <v>87269.29958125476</v>
      </c>
    </row>
    <row r="199" spans="2:11" x14ac:dyDescent="0.3">
      <c r="B199" s="30">
        <f>IF(LoanIsGood,IF(ROW()-ROW(PaymentSchedule4[[#Headers],[PMT NO]])&gt;ScheduledNumberOfPayments,"",ROW()-ROW(PaymentSchedule4[[#Headers],[PMT NO]])),"")</f>
        <v>184</v>
      </c>
      <c r="C199" s="31">
        <f>IF(PaymentSchedule4[[#This Row],[PMT NO]]&lt;&gt;"",EOMONTH(LoanStartDate,ROW(PaymentSchedule4[[#This Row],[PMT NO]])-ROW(PaymentSchedule4[[#Headers],[PMT NO]])-2)+DAY(LoanStartDate),"")</f>
        <v>48945</v>
      </c>
      <c r="D199" s="32">
        <f>IF(PaymentSchedule4[[#This Row],[PMT NO]]&lt;&gt;"",IF(ROW()-ROW(PaymentSchedule4[[#Headers],[BEGINNING BALANCE]])=1,LoanAmount,INDEX(PaymentSchedule4[ENDING BALANCE],ROW()-ROW(PaymentSchedule4[[#Headers],[BEGINNING BALANCE]])-1)),"")</f>
        <v>98184.182034050551</v>
      </c>
      <c r="E199" s="32">
        <f>IF(PaymentSchedule4[[#This Row],[PMT NO]]&lt;&gt;"",ScheduledPayment,"")</f>
        <v>760.02796473882097</v>
      </c>
      <c r="F19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19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199" s="32">
        <f>IF(PaymentSchedule4[[#This Row],[PMT NO]]&lt;&gt;"",PaymentSchedule4[[#This Row],[TOTAL PAYMENT]]-PaymentSchedule4[[#This Row],[INTEREST]],"")</f>
        <v>391.8372821111314</v>
      </c>
      <c r="I199" s="32">
        <f>IF(PaymentSchedule4[[#This Row],[PMT NO]]&lt;&gt;"",PaymentSchedule4[[#This Row],[BEGINNING BALANCE]]*(InterestRate/PaymentsPerYear),"")</f>
        <v>368.19068262768957</v>
      </c>
      <c r="J19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97792.344751939425</v>
      </c>
      <c r="K199" s="32">
        <f>IF(PaymentSchedule4[[#This Row],[PMT NO]]&lt;&gt;"",SUM(INDEX(PaymentSchedule4[INTEREST],1,1):PaymentSchedule4[[#This Row],[INTEREST]]),"")</f>
        <v>87637.490263882442</v>
      </c>
    </row>
    <row r="200" spans="2:11" x14ac:dyDescent="0.3">
      <c r="B200" s="30">
        <f>IF(LoanIsGood,IF(ROW()-ROW(PaymentSchedule4[[#Headers],[PMT NO]])&gt;ScheduledNumberOfPayments,"",ROW()-ROW(PaymentSchedule4[[#Headers],[PMT NO]])),"")</f>
        <v>185</v>
      </c>
      <c r="C200" s="31">
        <f>IF(PaymentSchedule4[[#This Row],[PMT NO]]&lt;&gt;"",EOMONTH(LoanStartDate,ROW(PaymentSchedule4[[#This Row],[PMT NO]])-ROW(PaymentSchedule4[[#Headers],[PMT NO]])-2)+DAY(LoanStartDate),"")</f>
        <v>48976</v>
      </c>
      <c r="D200" s="32">
        <f>IF(PaymentSchedule4[[#This Row],[PMT NO]]&lt;&gt;"",IF(ROW()-ROW(PaymentSchedule4[[#Headers],[BEGINNING BALANCE]])=1,LoanAmount,INDEX(PaymentSchedule4[ENDING BALANCE],ROW()-ROW(PaymentSchedule4[[#Headers],[BEGINNING BALANCE]])-1)),"")</f>
        <v>97792.344751939425</v>
      </c>
      <c r="E200" s="32">
        <f>IF(PaymentSchedule4[[#This Row],[PMT NO]]&lt;&gt;"",ScheduledPayment,"")</f>
        <v>760.02796473882097</v>
      </c>
      <c r="F20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0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00" s="32">
        <f>IF(PaymentSchedule4[[#This Row],[PMT NO]]&lt;&gt;"",PaymentSchedule4[[#This Row],[TOTAL PAYMENT]]-PaymentSchedule4[[#This Row],[INTEREST]],"")</f>
        <v>393.30667191904814</v>
      </c>
      <c r="I200" s="32">
        <f>IF(PaymentSchedule4[[#This Row],[PMT NO]]&lt;&gt;"",PaymentSchedule4[[#This Row],[BEGINNING BALANCE]]*(InterestRate/PaymentsPerYear),"")</f>
        <v>366.72129281977283</v>
      </c>
      <c r="J20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97399.038080020371</v>
      </c>
      <c r="K200" s="32">
        <f>IF(PaymentSchedule4[[#This Row],[PMT NO]]&lt;&gt;"",SUM(INDEX(PaymentSchedule4[INTEREST],1,1):PaymentSchedule4[[#This Row],[INTEREST]]),"")</f>
        <v>88004.211556702212</v>
      </c>
    </row>
    <row r="201" spans="2:11" x14ac:dyDescent="0.3">
      <c r="B201" s="30">
        <f>IF(LoanIsGood,IF(ROW()-ROW(PaymentSchedule4[[#Headers],[PMT NO]])&gt;ScheduledNumberOfPayments,"",ROW()-ROW(PaymentSchedule4[[#Headers],[PMT NO]])),"")</f>
        <v>186</v>
      </c>
      <c r="C201" s="31">
        <f>IF(PaymentSchedule4[[#This Row],[PMT NO]]&lt;&gt;"",EOMONTH(LoanStartDate,ROW(PaymentSchedule4[[#This Row],[PMT NO]])-ROW(PaymentSchedule4[[#Headers],[PMT NO]])-2)+DAY(LoanStartDate),"")</f>
        <v>49004</v>
      </c>
      <c r="D201" s="32">
        <f>IF(PaymentSchedule4[[#This Row],[PMT NO]]&lt;&gt;"",IF(ROW()-ROW(PaymentSchedule4[[#Headers],[BEGINNING BALANCE]])=1,LoanAmount,INDEX(PaymentSchedule4[ENDING BALANCE],ROW()-ROW(PaymentSchedule4[[#Headers],[BEGINNING BALANCE]])-1)),"")</f>
        <v>97399.038080020371</v>
      </c>
      <c r="E201" s="32">
        <f>IF(PaymentSchedule4[[#This Row],[PMT NO]]&lt;&gt;"",ScheduledPayment,"")</f>
        <v>760.02796473882097</v>
      </c>
      <c r="F20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0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01" s="32">
        <f>IF(PaymentSchedule4[[#This Row],[PMT NO]]&lt;&gt;"",PaymentSchedule4[[#This Row],[TOTAL PAYMENT]]-PaymentSchedule4[[#This Row],[INTEREST]],"")</f>
        <v>394.78157193874461</v>
      </c>
      <c r="I201" s="32">
        <f>IF(PaymentSchedule4[[#This Row],[PMT NO]]&lt;&gt;"",PaymentSchedule4[[#This Row],[BEGINNING BALANCE]]*(InterestRate/PaymentsPerYear),"")</f>
        <v>365.24639280007636</v>
      </c>
      <c r="J20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97004.256508081628</v>
      </c>
      <c r="K201" s="32">
        <f>IF(PaymentSchedule4[[#This Row],[PMT NO]]&lt;&gt;"",SUM(INDEX(PaymentSchedule4[INTEREST],1,1):PaymentSchedule4[[#This Row],[INTEREST]]),"")</f>
        <v>88369.457949502292</v>
      </c>
    </row>
    <row r="202" spans="2:11" x14ac:dyDescent="0.3">
      <c r="B202" s="30">
        <f>IF(LoanIsGood,IF(ROW()-ROW(PaymentSchedule4[[#Headers],[PMT NO]])&gt;ScheduledNumberOfPayments,"",ROW()-ROW(PaymentSchedule4[[#Headers],[PMT NO]])),"")</f>
        <v>187</v>
      </c>
      <c r="C202" s="31">
        <f>IF(PaymentSchedule4[[#This Row],[PMT NO]]&lt;&gt;"",EOMONTH(LoanStartDate,ROW(PaymentSchedule4[[#This Row],[PMT NO]])-ROW(PaymentSchedule4[[#Headers],[PMT NO]])-2)+DAY(LoanStartDate),"")</f>
        <v>49035</v>
      </c>
      <c r="D202" s="32">
        <f>IF(PaymentSchedule4[[#This Row],[PMT NO]]&lt;&gt;"",IF(ROW()-ROW(PaymentSchedule4[[#Headers],[BEGINNING BALANCE]])=1,LoanAmount,INDEX(PaymentSchedule4[ENDING BALANCE],ROW()-ROW(PaymentSchedule4[[#Headers],[BEGINNING BALANCE]])-1)),"")</f>
        <v>97004.256508081628</v>
      </c>
      <c r="E202" s="32">
        <f>IF(PaymentSchedule4[[#This Row],[PMT NO]]&lt;&gt;"",ScheduledPayment,"")</f>
        <v>760.02796473882097</v>
      </c>
      <c r="F20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0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02" s="32">
        <f>IF(PaymentSchedule4[[#This Row],[PMT NO]]&lt;&gt;"",PaymentSchedule4[[#This Row],[TOTAL PAYMENT]]-PaymentSchedule4[[#This Row],[INTEREST]],"")</f>
        <v>396.26200283351488</v>
      </c>
      <c r="I202" s="32">
        <f>IF(PaymentSchedule4[[#This Row],[PMT NO]]&lt;&gt;"",PaymentSchedule4[[#This Row],[BEGINNING BALANCE]]*(InterestRate/PaymentsPerYear),"")</f>
        <v>363.76596190530609</v>
      </c>
      <c r="J20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96607.99450524812</v>
      </c>
      <c r="K202" s="32">
        <f>IF(PaymentSchedule4[[#This Row],[PMT NO]]&lt;&gt;"",SUM(INDEX(PaymentSchedule4[INTEREST],1,1):PaymentSchedule4[[#This Row],[INTEREST]]),"")</f>
        <v>88733.223911407593</v>
      </c>
    </row>
    <row r="203" spans="2:11" x14ac:dyDescent="0.3">
      <c r="B203" s="30">
        <f>IF(LoanIsGood,IF(ROW()-ROW(PaymentSchedule4[[#Headers],[PMT NO]])&gt;ScheduledNumberOfPayments,"",ROW()-ROW(PaymentSchedule4[[#Headers],[PMT NO]])),"")</f>
        <v>188</v>
      </c>
      <c r="C203" s="31">
        <f>IF(PaymentSchedule4[[#This Row],[PMT NO]]&lt;&gt;"",EOMONTH(LoanStartDate,ROW(PaymentSchedule4[[#This Row],[PMT NO]])-ROW(PaymentSchedule4[[#Headers],[PMT NO]])-2)+DAY(LoanStartDate),"")</f>
        <v>49065</v>
      </c>
      <c r="D203" s="32">
        <f>IF(PaymentSchedule4[[#This Row],[PMT NO]]&lt;&gt;"",IF(ROW()-ROW(PaymentSchedule4[[#Headers],[BEGINNING BALANCE]])=1,LoanAmount,INDEX(PaymentSchedule4[ENDING BALANCE],ROW()-ROW(PaymentSchedule4[[#Headers],[BEGINNING BALANCE]])-1)),"")</f>
        <v>96607.99450524812</v>
      </c>
      <c r="E203" s="32">
        <f>IF(PaymentSchedule4[[#This Row],[PMT NO]]&lt;&gt;"",ScheduledPayment,"")</f>
        <v>760.02796473882097</v>
      </c>
      <c r="F20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0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03" s="32">
        <f>IF(PaymentSchedule4[[#This Row],[PMT NO]]&lt;&gt;"",PaymentSchedule4[[#This Row],[TOTAL PAYMENT]]-PaymentSchedule4[[#This Row],[INTEREST]],"")</f>
        <v>397.74798534414055</v>
      </c>
      <c r="I203" s="32">
        <f>IF(PaymentSchedule4[[#This Row],[PMT NO]]&lt;&gt;"",PaymentSchedule4[[#This Row],[BEGINNING BALANCE]]*(InterestRate/PaymentsPerYear),"")</f>
        <v>362.27997939468042</v>
      </c>
      <c r="J20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96210.246519903973</v>
      </c>
      <c r="K203" s="32">
        <f>IF(PaymentSchedule4[[#This Row],[PMT NO]]&lt;&gt;"",SUM(INDEX(PaymentSchedule4[INTEREST],1,1):PaymentSchedule4[[#This Row],[INTEREST]]),"")</f>
        <v>89095.503890802269</v>
      </c>
    </row>
    <row r="204" spans="2:11" x14ac:dyDescent="0.3">
      <c r="B204" s="30">
        <f>IF(LoanIsGood,IF(ROW()-ROW(PaymentSchedule4[[#Headers],[PMT NO]])&gt;ScheduledNumberOfPayments,"",ROW()-ROW(PaymentSchedule4[[#Headers],[PMT NO]])),"")</f>
        <v>189</v>
      </c>
      <c r="C204" s="31">
        <f>IF(PaymentSchedule4[[#This Row],[PMT NO]]&lt;&gt;"",EOMONTH(LoanStartDate,ROW(PaymentSchedule4[[#This Row],[PMT NO]])-ROW(PaymentSchedule4[[#Headers],[PMT NO]])-2)+DAY(LoanStartDate),"")</f>
        <v>49096</v>
      </c>
      <c r="D204" s="32">
        <f>IF(PaymentSchedule4[[#This Row],[PMT NO]]&lt;&gt;"",IF(ROW()-ROW(PaymentSchedule4[[#Headers],[BEGINNING BALANCE]])=1,LoanAmount,INDEX(PaymentSchedule4[ENDING BALANCE],ROW()-ROW(PaymentSchedule4[[#Headers],[BEGINNING BALANCE]])-1)),"")</f>
        <v>96210.246519903973</v>
      </c>
      <c r="E204" s="32">
        <f>IF(PaymentSchedule4[[#This Row],[PMT NO]]&lt;&gt;"",ScheduledPayment,"")</f>
        <v>760.02796473882097</v>
      </c>
      <c r="F20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0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04" s="32">
        <f>IF(PaymentSchedule4[[#This Row],[PMT NO]]&lt;&gt;"",PaymentSchedule4[[#This Row],[TOTAL PAYMENT]]-PaymentSchedule4[[#This Row],[INTEREST]],"")</f>
        <v>399.23954028918109</v>
      </c>
      <c r="I204" s="32">
        <f>IF(PaymentSchedule4[[#This Row],[PMT NO]]&lt;&gt;"",PaymentSchedule4[[#This Row],[BEGINNING BALANCE]]*(InterestRate/PaymentsPerYear),"")</f>
        <v>360.78842444963988</v>
      </c>
      <c r="J20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95811.006979614787</v>
      </c>
      <c r="K204" s="32">
        <f>IF(PaymentSchedule4[[#This Row],[PMT NO]]&lt;&gt;"",SUM(INDEX(PaymentSchedule4[INTEREST],1,1):PaymentSchedule4[[#This Row],[INTEREST]]),"")</f>
        <v>89456.292315251907</v>
      </c>
    </row>
    <row r="205" spans="2:11" x14ac:dyDescent="0.3">
      <c r="B205" s="30">
        <f>IF(LoanIsGood,IF(ROW()-ROW(PaymentSchedule4[[#Headers],[PMT NO]])&gt;ScheduledNumberOfPayments,"",ROW()-ROW(PaymentSchedule4[[#Headers],[PMT NO]])),"")</f>
        <v>190</v>
      </c>
      <c r="C205" s="31">
        <f>IF(PaymentSchedule4[[#This Row],[PMT NO]]&lt;&gt;"",EOMONTH(LoanStartDate,ROW(PaymentSchedule4[[#This Row],[PMT NO]])-ROW(PaymentSchedule4[[#Headers],[PMT NO]])-2)+DAY(LoanStartDate),"")</f>
        <v>49126</v>
      </c>
      <c r="D205" s="32">
        <f>IF(PaymentSchedule4[[#This Row],[PMT NO]]&lt;&gt;"",IF(ROW()-ROW(PaymentSchedule4[[#Headers],[BEGINNING BALANCE]])=1,LoanAmount,INDEX(PaymentSchedule4[ENDING BALANCE],ROW()-ROW(PaymentSchedule4[[#Headers],[BEGINNING BALANCE]])-1)),"")</f>
        <v>95811.006979614787</v>
      </c>
      <c r="E205" s="32">
        <f>IF(PaymentSchedule4[[#This Row],[PMT NO]]&lt;&gt;"",ScheduledPayment,"")</f>
        <v>760.02796473882097</v>
      </c>
      <c r="F20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0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05" s="32">
        <f>IF(PaymentSchedule4[[#This Row],[PMT NO]]&lt;&gt;"",PaymentSchedule4[[#This Row],[TOTAL PAYMENT]]-PaymentSchedule4[[#This Row],[INTEREST]],"")</f>
        <v>400.73668856526552</v>
      </c>
      <c r="I205" s="32">
        <f>IF(PaymentSchedule4[[#This Row],[PMT NO]]&lt;&gt;"",PaymentSchedule4[[#This Row],[BEGINNING BALANCE]]*(InterestRate/PaymentsPerYear),"")</f>
        <v>359.29127617355545</v>
      </c>
      <c r="J20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95410.270291049528</v>
      </c>
      <c r="K205" s="32">
        <f>IF(PaymentSchedule4[[#This Row],[PMT NO]]&lt;&gt;"",SUM(INDEX(PaymentSchedule4[INTEREST],1,1):PaymentSchedule4[[#This Row],[INTEREST]]),"")</f>
        <v>89815.583591425457</v>
      </c>
    </row>
    <row r="206" spans="2:11" x14ac:dyDescent="0.3">
      <c r="B206" s="30">
        <f>IF(LoanIsGood,IF(ROW()-ROW(PaymentSchedule4[[#Headers],[PMT NO]])&gt;ScheduledNumberOfPayments,"",ROW()-ROW(PaymentSchedule4[[#Headers],[PMT NO]])),"")</f>
        <v>191</v>
      </c>
      <c r="C206" s="31">
        <f>IF(PaymentSchedule4[[#This Row],[PMT NO]]&lt;&gt;"",EOMONTH(LoanStartDate,ROW(PaymentSchedule4[[#This Row],[PMT NO]])-ROW(PaymentSchedule4[[#Headers],[PMT NO]])-2)+DAY(LoanStartDate),"")</f>
        <v>49157</v>
      </c>
      <c r="D206" s="32">
        <f>IF(PaymentSchedule4[[#This Row],[PMT NO]]&lt;&gt;"",IF(ROW()-ROW(PaymentSchedule4[[#Headers],[BEGINNING BALANCE]])=1,LoanAmount,INDEX(PaymentSchedule4[ENDING BALANCE],ROW()-ROW(PaymentSchedule4[[#Headers],[BEGINNING BALANCE]])-1)),"")</f>
        <v>95410.270291049528</v>
      </c>
      <c r="E206" s="32">
        <f>IF(PaymentSchedule4[[#This Row],[PMT NO]]&lt;&gt;"",ScheduledPayment,"")</f>
        <v>760.02796473882097</v>
      </c>
      <c r="F20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0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06" s="32">
        <f>IF(PaymentSchedule4[[#This Row],[PMT NO]]&lt;&gt;"",PaymentSchedule4[[#This Row],[TOTAL PAYMENT]]-PaymentSchedule4[[#This Row],[INTEREST]],"")</f>
        <v>402.23945114738524</v>
      </c>
      <c r="I206" s="32">
        <f>IF(PaymentSchedule4[[#This Row],[PMT NO]]&lt;&gt;"",PaymentSchedule4[[#This Row],[BEGINNING BALANCE]]*(InterestRate/PaymentsPerYear),"")</f>
        <v>357.78851359143573</v>
      </c>
      <c r="J20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95008.030839902145</v>
      </c>
      <c r="K206" s="32">
        <f>IF(PaymentSchedule4[[#This Row],[PMT NO]]&lt;&gt;"",SUM(INDEX(PaymentSchedule4[INTEREST],1,1):PaymentSchedule4[[#This Row],[INTEREST]]),"")</f>
        <v>90173.372105016897</v>
      </c>
    </row>
    <row r="207" spans="2:11" x14ac:dyDescent="0.3">
      <c r="B207" s="30">
        <f>IF(LoanIsGood,IF(ROW()-ROW(PaymentSchedule4[[#Headers],[PMT NO]])&gt;ScheduledNumberOfPayments,"",ROW()-ROW(PaymentSchedule4[[#Headers],[PMT NO]])),"")</f>
        <v>192</v>
      </c>
      <c r="C207" s="31">
        <f>IF(PaymentSchedule4[[#This Row],[PMT NO]]&lt;&gt;"",EOMONTH(LoanStartDate,ROW(PaymentSchedule4[[#This Row],[PMT NO]])-ROW(PaymentSchedule4[[#Headers],[PMT NO]])-2)+DAY(LoanStartDate),"")</f>
        <v>49188</v>
      </c>
      <c r="D207" s="32">
        <f>IF(PaymentSchedule4[[#This Row],[PMT NO]]&lt;&gt;"",IF(ROW()-ROW(PaymentSchedule4[[#Headers],[BEGINNING BALANCE]])=1,LoanAmount,INDEX(PaymentSchedule4[ENDING BALANCE],ROW()-ROW(PaymentSchedule4[[#Headers],[BEGINNING BALANCE]])-1)),"")</f>
        <v>95008.030839902145</v>
      </c>
      <c r="E207" s="32">
        <f>IF(PaymentSchedule4[[#This Row],[PMT NO]]&lt;&gt;"",ScheduledPayment,"")</f>
        <v>760.02796473882097</v>
      </c>
      <c r="F20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0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07" s="32">
        <f>IF(PaymentSchedule4[[#This Row],[PMT NO]]&lt;&gt;"",PaymentSchedule4[[#This Row],[TOTAL PAYMENT]]-PaymentSchedule4[[#This Row],[INTEREST]],"")</f>
        <v>403.74784908918792</v>
      </c>
      <c r="I207" s="32">
        <f>IF(PaymentSchedule4[[#This Row],[PMT NO]]&lt;&gt;"",PaymentSchedule4[[#This Row],[BEGINNING BALANCE]]*(InterestRate/PaymentsPerYear),"")</f>
        <v>356.28011564963305</v>
      </c>
      <c r="J20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94604.282990812964</v>
      </c>
      <c r="K207" s="32">
        <f>IF(PaymentSchedule4[[#This Row],[PMT NO]]&lt;&gt;"",SUM(INDEX(PaymentSchedule4[INTEREST],1,1):PaymentSchedule4[[#This Row],[INTEREST]]),"")</f>
        <v>90529.652220666525</v>
      </c>
    </row>
    <row r="208" spans="2:11" x14ac:dyDescent="0.3">
      <c r="B208" s="30">
        <f>IF(LoanIsGood,IF(ROW()-ROW(PaymentSchedule4[[#Headers],[PMT NO]])&gt;ScheduledNumberOfPayments,"",ROW()-ROW(PaymentSchedule4[[#Headers],[PMT NO]])),"")</f>
        <v>193</v>
      </c>
      <c r="C208" s="31">
        <f>IF(PaymentSchedule4[[#This Row],[PMT NO]]&lt;&gt;"",EOMONTH(LoanStartDate,ROW(PaymentSchedule4[[#This Row],[PMT NO]])-ROW(PaymentSchedule4[[#Headers],[PMT NO]])-2)+DAY(LoanStartDate),"")</f>
        <v>49218</v>
      </c>
      <c r="D208" s="32">
        <f>IF(PaymentSchedule4[[#This Row],[PMT NO]]&lt;&gt;"",IF(ROW()-ROW(PaymentSchedule4[[#Headers],[BEGINNING BALANCE]])=1,LoanAmount,INDEX(PaymentSchedule4[ENDING BALANCE],ROW()-ROW(PaymentSchedule4[[#Headers],[BEGINNING BALANCE]])-1)),"")</f>
        <v>94604.282990812964</v>
      </c>
      <c r="E208" s="32">
        <f>IF(PaymentSchedule4[[#This Row],[PMT NO]]&lt;&gt;"",ScheduledPayment,"")</f>
        <v>760.02796473882097</v>
      </c>
      <c r="F20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0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08" s="32">
        <f>IF(PaymentSchedule4[[#This Row],[PMT NO]]&lt;&gt;"",PaymentSchedule4[[#This Row],[TOTAL PAYMENT]]-PaymentSchedule4[[#This Row],[INTEREST]],"")</f>
        <v>405.26190352327239</v>
      </c>
      <c r="I208" s="32">
        <f>IF(PaymentSchedule4[[#This Row],[PMT NO]]&lt;&gt;"",PaymentSchedule4[[#This Row],[BEGINNING BALANCE]]*(InterestRate/PaymentsPerYear),"")</f>
        <v>354.76606121554858</v>
      </c>
      <c r="J20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94199.021087289686</v>
      </c>
      <c r="K208" s="32">
        <f>IF(PaymentSchedule4[[#This Row],[PMT NO]]&lt;&gt;"",SUM(INDEX(PaymentSchedule4[INTEREST],1,1):PaymentSchedule4[[#This Row],[INTEREST]]),"")</f>
        <v>90884.41828188207</v>
      </c>
    </row>
    <row r="209" spans="2:11" x14ac:dyDescent="0.3">
      <c r="B209" s="30">
        <f>IF(LoanIsGood,IF(ROW()-ROW(PaymentSchedule4[[#Headers],[PMT NO]])&gt;ScheduledNumberOfPayments,"",ROW()-ROW(PaymentSchedule4[[#Headers],[PMT NO]])),"")</f>
        <v>194</v>
      </c>
      <c r="C209" s="31">
        <f>IF(PaymentSchedule4[[#This Row],[PMT NO]]&lt;&gt;"",EOMONTH(LoanStartDate,ROW(PaymentSchedule4[[#This Row],[PMT NO]])-ROW(PaymentSchedule4[[#Headers],[PMT NO]])-2)+DAY(LoanStartDate),"")</f>
        <v>49249</v>
      </c>
      <c r="D209" s="32">
        <f>IF(PaymentSchedule4[[#This Row],[PMT NO]]&lt;&gt;"",IF(ROW()-ROW(PaymentSchedule4[[#Headers],[BEGINNING BALANCE]])=1,LoanAmount,INDEX(PaymentSchedule4[ENDING BALANCE],ROW()-ROW(PaymentSchedule4[[#Headers],[BEGINNING BALANCE]])-1)),"")</f>
        <v>94199.021087289686</v>
      </c>
      <c r="E209" s="32">
        <f>IF(PaymentSchedule4[[#This Row],[PMT NO]]&lt;&gt;"",ScheduledPayment,"")</f>
        <v>760.02796473882097</v>
      </c>
      <c r="F20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0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09" s="32">
        <f>IF(PaymentSchedule4[[#This Row],[PMT NO]]&lt;&gt;"",PaymentSchedule4[[#This Row],[TOTAL PAYMENT]]-PaymentSchedule4[[#This Row],[INTEREST]],"")</f>
        <v>406.78163566148464</v>
      </c>
      <c r="I209" s="32">
        <f>IF(PaymentSchedule4[[#This Row],[PMT NO]]&lt;&gt;"",PaymentSchedule4[[#This Row],[BEGINNING BALANCE]]*(InterestRate/PaymentsPerYear),"")</f>
        <v>353.24632907733633</v>
      </c>
      <c r="J20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93792.239451628207</v>
      </c>
      <c r="K209" s="32">
        <f>IF(PaymentSchedule4[[#This Row],[PMT NO]]&lt;&gt;"",SUM(INDEX(PaymentSchedule4[INTEREST],1,1):PaymentSchedule4[[#This Row],[INTEREST]]),"")</f>
        <v>91237.6646109594</v>
      </c>
    </row>
    <row r="210" spans="2:11" x14ac:dyDescent="0.3">
      <c r="B210" s="30">
        <f>IF(LoanIsGood,IF(ROW()-ROW(PaymentSchedule4[[#Headers],[PMT NO]])&gt;ScheduledNumberOfPayments,"",ROW()-ROW(PaymentSchedule4[[#Headers],[PMT NO]])),"")</f>
        <v>195</v>
      </c>
      <c r="C210" s="31">
        <f>IF(PaymentSchedule4[[#This Row],[PMT NO]]&lt;&gt;"",EOMONTH(LoanStartDate,ROW(PaymentSchedule4[[#This Row],[PMT NO]])-ROW(PaymentSchedule4[[#Headers],[PMT NO]])-2)+DAY(LoanStartDate),"")</f>
        <v>49279</v>
      </c>
      <c r="D210" s="32">
        <f>IF(PaymentSchedule4[[#This Row],[PMT NO]]&lt;&gt;"",IF(ROW()-ROW(PaymentSchedule4[[#Headers],[BEGINNING BALANCE]])=1,LoanAmount,INDEX(PaymentSchedule4[ENDING BALANCE],ROW()-ROW(PaymentSchedule4[[#Headers],[BEGINNING BALANCE]])-1)),"")</f>
        <v>93792.239451628207</v>
      </c>
      <c r="E210" s="32">
        <f>IF(PaymentSchedule4[[#This Row],[PMT NO]]&lt;&gt;"",ScheduledPayment,"")</f>
        <v>760.02796473882097</v>
      </c>
      <c r="F21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1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10" s="32">
        <f>IF(PaymentSchedule4[[#This Row],[PMT NO]]&lt;&gt;"",PaymentSchedule4[[#This Row],[TOTAL PAYMENT]]-PaymentSchedule4[[#This Row],[INTEREST]],"")</f>
        <v>408.30706679521518</v>
      </c>
      <c r="I210" s="32">
        <f>IF(PaymentSchedule4[[#This Row],[PMT NO]]&lt;&gt;"",PaymentSchedule4[[#This Row],[BEGINNING BALANCE]]*(InterestRate/PaymentsPerYear),"")</f>
        <v>351.72089794360579</v>
      </c>
      <c r="J21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93383.932384832995</v>
      </c>
      <c r="K210" s="32">
        <f>IF(PaymentSchedule4[[#This Row],[PMT NO]]&lt;&gt;"",SUM(INDEX(PaymentSchedule4[INTEREST],1,1):PaymentSchedule4[[#This Row],[INTEREST]]),"")</f>
        <v>91589.385508903011</v>
      </c>
    </row>
    <row r="211" spans="2:11" x14ac:dyDescent="0.3">
      <c r="B211" s="30">
        <f>IF(LoanIsGood,IF(ROW()-ROW(PaymentSchedule4[[#Headers],[PMT NO]])&gt;ScheduledNumberOfPayments,"",ROW()-ROW(PaymentSchedule4[[#Headers],[PMT NO]])),"")</f>
        <v>196</v>
      </c>
      <c r="C211" s="31">
        <f>IF(PaymentSchedule4[[#This Row],[PMT NO]]&lt;&gt;"",EOMONTH(LoanStartDate,ROW(PaymentSchedule4[[#This Row],[PMT NO]])-ROW(PaymentSchedule4[[#Headers],[PMT NO]])-2)+DAY(LoanStartDate),"")</f>
        <v>49310</v>
      </c>
      <c r="D211" s="32">
        <f>IF(PaymentSchedule4[[#This Row],[PMT NO]]&lt;&gt;"",IF(ROW()-ROW(PaymentSchedule4[[#Headers],[BEGINNING BALANCE]])=1,LoanAmount,INDEX(PaymentSchedule4[ENDING BALANCE],ROW()-ROW(PaymentSchedule4[[#Headers],[BEGINNING BALANCE]])-1)),"")</f>
        <v>93383.932384832995</v>
      </c>
      <c r="E211" s="32">
        <f>IF(PaymentSchedule4[[#This Row],[PMT NO]]&lt;&gt;"",ScheduledPayment,"")</f>
        <v>760.02796473882097</v>
      </c>
      <c r="F21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1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11" s="32">
        <f>IF(PaymentSchedule4[[#This Row],[PMT NO]]&lt;&gt;"",PaymentSchedule4[[#This Row],[TOTAL PAYMENT]]-PaymentSchedule4[[#This Row],[INTEREST]],"")</f>
        <v>409.83821829569723</v>
      </c>
      <c r="I211" s="32">
        <f>IF(PaymentSchedule4[[#This Row],[PMT NO]]&lt;&gt;"",PaymentSchedule4[[#This Row],[BEGINNING BALANCE]]*(InterestRate/PaymentsPerYear),"")</f>
        <v>350.18974644312374</v>
      </c>
      <c r="J21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92974.094166537296</v>
      </c>
      <c r="K211" s="32">
        <f>IF(PaymentSchedule4[[#This Row],[PMT NO]]&lt;&gt;"",SUM(INDEX(PaymentSchedule4[INTEREST],1,1):PaymentSchedule4[[#This Row],[INTEREST]]),"")</f>
        <v>91939.575255346135</v>
      </c>
    </row>
    <row r="212" spans="2:11" x14ac:dyDescent="0.3">
      <c r="B212" s="30">
        <f>IF(LoanIsGood,IF(ROW()-ROW(PaymentSchedule4[[#Headers],[PMT NO]])&gt;ScheduledNumberOfPayments,"",ROW()-ROW(PaymentSchedule4[[#Headers],[PMT NO]])),"")</f>
        <v>197</v>
      </c>
      <c r="C212" s="31">
        <f>IF(PaymentSchedule4[[#This Row],[PMT NO]]&lt;&gt;"",EOMONTH(LoanStartDate,ROW(PaymentSchedule4[[#This Row],[PMT NO]])-ROW(PaymentSchedule4[[#Headers],[PMT NO]])-2)+DAY(LoanStartDate),"")</f>
        <v>49341</v>
      </c>
      <c r="D212" s="32">
        <f>IF(PaymentSchedule4[[#This Row],[PMT NO]]&lt;&gt;"",IF(ROW()-ROW(PaymentSchedule4[[#Headers],[BEGINNING BALANCE]])=1,LoanAmount,INDEX(PaymentSchedule4[ENDING BALANCE],ROW()-ROW(PaymentSchedule4[[#Headers],[BEGINNING BALANCE]])-1)),"")</f>
        <v>92974.094166537296</v>
      </c>
      <c r="E212" s="32">
        <f>IF(PaymentSchedule4[[#This Row],[PMT NO]]&lt;&gt;"",ScheduledPayment,"")</f>
        <v>760.02796473882097</v>
      </c>
      <c r="F21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1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12" s="32">
        <f>IF(PaymentSchedule4[[#This Row],[PMT NO]]&lt;&gt;"",PaymentSchedule4[[#This Row],[TOTAL PAYMENT]]-PaymentSchedule4[[#This Row],[INTEREST]],"")</f>
        <v>411.37511161430615</v>
      </c>
      <c r="I212" s="32">
        <f>IF(PaymentSchedule4[[#This Row],[PMT NO]]&lt;&gt;"",PaymentSchedule4[[#This Row],[BEGINNING BALANCE]]*(InterestRate/PaymentsPerYear),"")</f>
        <v>348.65285312451482</v>
      </c>
      <c r="J21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92562.719054922985</v>
      </c>
      <c r="K212" s="32">
        <f>IF(PaymentSchedule4[[#This Row],[PMT NO]]&lt;&gt;"",SUM(INDEX(PaymentSchedule4[INTEREST],1,1):PaymentSchedule4[[#This Row],[INTEREST]]),"")</f>
        <v>92288.228108470648</v>
      </c>
    </row>
    <row r="213" spans="2:11" x14ac:dyDescent="0.3">
      <c r="B213" s="30">
        <f>IF(LoanIsGood,IF(ROW()-ROW(PaymentSchedule4[[#Headers],[PMT NO]])&gt;ScheduledNumberOfPayments,"",ROW()-ROW(PaymentSchedule4[[#Headers],[PMT NO]])),"")</f>
        <v>198</v>
      </c>
      <c r="C213" s="31">
        <f>IF(PaymentSchedule4[[#This Row],[PMT NO]]&lt;&gt;"",EOMONTH(LoanStartDate,ROW(PaymentSchedule4[[#This Row],[PMT NO]])-ROW(PaymentSchedule4[[#Headers],[PMT NO]])-2)+DAY(LoanStartDate),"")</f>
        <v>49369</v>
      </c>
      <c r="D213" s="32">
        <f>IF(PaymentSchedule4[[#This Row],[PMT NO]]&lt;&gt;"",IF(ROW()-ROW(PaymentSchedule4[[#Headers],[BEGINNING BALANCE]])=1,LoanAmount,INDEX(PaymentSchedule4[ENDING BALANCE],ROW()-ROW(PaymentSchedule4[[#Headers],[BEGINNING BALANCE]])-1)),"")</f>
        <v>92562.719054922985</v>
      </c>
      <c r="E213" s="32">
        <f>IF(PaymentSchedule4[[#This Row],[PMT NO]]&lt;&gt;"",ScheduledPayment,"")</f>
        <v>760.02796473882097</v>
      </c>
      <c r="F21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1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13" s="32">
        <f>IF(PaymentSchedule4[[#This Row],[PMT NO]]&lt;&gt;"",PaymentSchedule4[[#This Row],[TOTAL PAYMENT]]-PaymentSchedule4[[#This Row],[INTEREST]],"")</f>
        <v>412.91776828285981</v>
      </c>
      <c r="I213" s="32">
        <f>IF(PaymentSchedule4[[#This Row],[PMT NO]]&lt;&gt;"",PaymentSchedule4[[#This Row],[BEGINNING BALANCE]]*(InterestRate/PaymentsPerYear),"")</f>
        <v>347.11019645596116</v>
      </c>
      <c r="J21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92149.801286640126</v>
      </c>
      <c r="K213" s="32">
        <f>IF(PaymentSchedule4[[#This Row],[PMT NO]]&lt;&gt;"",SUM(INDEX(PaymentSchedule4[INTEREST],1,1):PaymentSchedule4[[#This Row],[INTEREST]]),"")</f>
        <v>92635.338304926612</v>
      </c>
    </row>
    <row r="214" spans="2:11" x14ac:dyDescent="0.3">
      <c r="B214" s="30">
        <f>IF(LoanIsGood,IF(ROW()-ROW(PaymentSchedule4[[#Headers],[PMT NO]])&gt;ScheduledNumberOfPayments,"",ROW()-ROW(PaymentSchedule4[[#Headers],[PMT NO]])),"")</f>
        <v>199</v>
      </c>
      <c r="C214" s="31">
        <f>IF(PaymentSchedule4[[#This Row],[PMT NO]]&lt;&gt;"",EOMONTH(LoanStartDate,ROW(PaymentSchedule4[[#This Row],[PMT NO]])-ROW(PaymentSchedule4[[#Headers],[PMT NO]])-2)+DAY(LoanStartDate),"")</f>
        <v>49400</v>
      </c>
      <c r="D214" s="32">
        <f>IF(PaymentSchedule4[[#This Row],[PMT NO]]&lt;&gt;"",IF(ROW()-ROW(PaymentSchedule4[[#Headers],[BEGINNING BALANCE]])=1,LoanAmount,INDEX(PaymentSchedule4[ENDING BALANCE],ROW()-ROW(PaymentSchedule4[[#Headers],[BEGINNING BALANCE]])-1)),"")</f>
        <v>92149.801286640126</v>
      </c>
      <c r="E214" s="32">
        <f>IF(PaymentSchedule4[[#This Row],[PMT NO]]&lt;&gt;"",ScheduledPayment,"")</f>
        <v>760.02796473882097</v>
      </c>
      <c r="F21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1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14" s="32">
        <f>IF(PaymentSchedule4[[#This Row],[PMT NO]]&lt;&gt;"",PaymentSchedule4[[#This Row],[TOTAL PAYMENT]]-PaymentSchedule4[[#This Row],[INTEREST]],"")</f>
        <v>414.46620991392052</v>
      </c>
      <c r="I214" s="32">
        <f>IF(PaymentSchedule4[[#This Row],[PMT NO]]&lt;&gt;"",PaymentSchedule4[[#This Row],[BEGINNING BALANCE]]*(InterestRate/PaymentsPerYear),"")</f>
        <v>345.56175482490045</v>
      </c>
      <c r="J21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91735.335076726202</v>
      </c>
      <c r="K214" s="32">
        <f>IF(PaymentSchedule4[[#This Row],[PMT NO]]&lt;&gt;"",SUM(INDEX(PaymentSchedule4[INTEREST],1,1):PaymentSchedule4[[#This Row],[INTEREST]]),"")</f>
        <v>92980.900059751511</v>
      </c>
    </row>
    <row r="215" spans="2:11" x14ac:dyDescent="0.3">
      <c r="B215" s="30">
        <f>IF(LoanIsGood,IF(ROW()-ROW(PaymentSchedule4[[#Headers],[PMT NO]])&gt;ScheduledNumberOfPayments,"",ROW()-ROW(PaymentSchedule4[[#Headers],[PMT NO]])),"")</f>
        <v>200</v>
      </c>
      <c r="C215" s="31">
        <f>IF(PaymentSchedule4[[#This Row],[PMT NO]]&lt;&gt;"",EOMONTH(LoanStartDate,ROW(PaymentSchedule4[[#This Row],[PMT NO]])-ROW(PaymentSchedule4[[#Headers],[PMT NO]])-2)+DAY(LoanStartDate),"")</f>
        <v>49430</v>
      </c>
      <c r="D215" s="32">
        <f>IF(PaymentSchedule4[[#This Row],[PMT NO]]&lt;&gt;"",IF(ROW()-ROW(PaymentSchedule4[[#Headers],[BEGINNING BALANCE]])=1,LoanAmount,INDEX(PaymentSchedule4[ENDING BALANCE],ROW()-ROW(PaymentSchedule4[[#Headers],[BEGINNING BALANCE]])-1)),"")</f>
        <v>91735.335076726202</v>
      </c>
      <c r="E215" s="32">
        <f>IF(PaymentSchedule4[[#This Row],[PMT NO]]&lt;&gt;"",ScheduledPayment,"")</f>
        <v>760.02796473882097</v>
      </c>
      <c r="F21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1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15" s="32">
        <f>IF(PaymentSchedule4[[#This Row],[PMT NO]]&lt;&gt;"",PaymentSchedule4[[#This Row],[TOTAL PAYMENT]]-PaymentSchedule4[[#This Row],[INTEREST]],"")</f>
        <v>416.02045820109771</v>
      </c>
      <c r="I215" s="32">
        <f>IF(PaymentSchedule4[[#This Row],[PMT NO]]&lt;&gt;"",PaymentSchedule4[[#This Row],[BEGINNING BALANCE]]*(InterestRate/PaymentsPerYear),"")</f>
        <v>344.00750653772326</v>
      </c>
      <c r="J21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91319.31461852511</v>
      </c>
      <c r="K215" s="32">
        <f>IF(PaymentSchedule4[[#This Row],[PMT NO]]&lt;&gt;"",SUM(INDEX(PaymentSchedule4[INTEREST],1,1):PaymentSchedule4[[#This Row],[INTEREST]]),"")</f>
        <v>93324.907566289228</v>
      </c>
    </row>
    <row r="216" spans="2:11" x14ac:dyDescent="0.3">
      <c r="B216" s="30">
        <f>IF(LoanIsGood,IF(ROW()-ROW(PaymentSchedule4[[#Headers],[PMT NO]])&gt;ScheduledNumberOfPayments,"",ROW()-ROW(PaymentSchedule4[[#Headers],[PMT NO]])),"")</f>
        <v>201</v>
      </c>
      <c r="C216" s="31">
        <f>IF(PaymentSchedule4[[#This Row],[PMT NO]]&lt;&gt;"",EOMONTH(LoanStartDate,ROW(PaymentSchedule4[[#This Row],[PMT NO]])-ROW(PaymentSchedule4[[#Headers],[PMT NO]])-2)+DAY(LoanStartDate),"")</f>
        <v>49461</v>
      </c>
      <c r="D216" s="32">
        <f>IF(PaymentSchedule4[[#This Row],[PMT NO]]&lt;&gt;"",IF(ROW()-ROW(PaymentSchedule4[[#Headers],[BEGINNING BALANCE]])=1,LoanAmount,INDEX(PaymentSchedule4[ENDING BALANCE],ROW()-ROW(PaymentSchedule4[[#Headers],[BEGINNING BALANCE]])-1)),"")</f>
        <v>91319.31461852511</v>
      </c>
      <c r="E216" s="32">
        <f>IF(PaymentSchedule4[[#This Row],[PMT NO]]&lt;&gt;"",ScheduledPayment,"")</f>
        <v>760.02796473882097</v>
      </c>
      <c r="F21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1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16" s="32">
        <f>IF(PaymentSchedule4[[#This Row],[PMT NO]]&lt;&gt;"",PaymentSchedule4[[#This Row],[TOTAL PAYMENT]]-PaymentSchedule4[[#This Row],[INTEREST]],"")</f>
        <v>417.58053491935181</v>
      </c>
      <c r="I216" s="32">
        <f>IF(PaymentSchedule4[[#This Row],[PMT NO]]&lt;&gt;"",PaymentSchedule4[[#This Row],[BEGINNING BALANCE]]*(InterestRate/PaymentsPerYear),"")</f>
        <v>342.44742981946916</v>
      </c>
      <c r="J21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90901.734083605756</v>
      </c>
      <c r="K216" s="32">
        <f>IF(PaymentSchedule4[[#This Row],[PMT NO]]&lt;&gt;"",SUM(INDEX(PaymentSchedule4[INTEREST],1,1):PaymentSchedule4[[#This Row],[INTEREST]]),"")</f>
        <v>93667.354996108697</v>
      </c>
    </row>
    <row r="217" spans="2:11" x14ac:dyDescent="0.3">
      <c r="B217" s="30">
        <f>IF(LoanIsGood,IF(ROW()-ROW(PaymentSchedule4[[#Headers],[PMT NO]])&gt;ScheduledNumberOfPayments,"",ROW()-ROW(PaymentSchedule4[[#Headers],[PMT NO]])),"")</f>
        <v>202</v>
      </c>
      <c r="C217" s="31">
        <f>IF(PaymentSchedule4[[#This Row],[PMT NO]]&lt;&gt;"",EOMONTH(LoanStartDate,ROW(PaymentSchedule4[[#This Row],[PMT NO]])-ROW(PaymentSchedule4[[#Headers],[PMT NO]])-2)+DAY(LoanStartDate),"")</f>
        <v>49491</v>
      </c>
      <c r="D217" s="32">
        <f>IF(PaymentSchedule4[[#This Row],[PMT NO]]&lt;&gt;"",IF(ROW()-ROW(PaymentSchedule4[[#Headers],[BEGINNING BALANCE]])=1,LoanAmount,INDEX(PaymentSchedule4[ENDING BALANCE],ROW()-ROW(PaymentSchedule4[[#Headers],[BEGINNING BALANCE]])-1)),"")</f>
        <v>90901.734083605756</v>
      </c>
      <c r="E217" s="32">
        <f>IF(PaymentSchedule4[[#This Row],[PMT NO]]&lt;&gt;"",ScheduledPayment,"")</f>
        <v>760.02796473882097</v>
      </c>
      <c r="F21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1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17" s="32">
        <f>IF(PaymentSchedule4[[#This Row],[PMT NO]]&lt;&gt;"",PaymentSchedule4[[#This Row],[TOTAL PAYMENT]]-PaymentSchedule4[[#This Row],[INTEREST]],"")</f>
        <v>419.14646192529938</v>
      </c>
      <c r="I217" s="32">
        <f>IF(PaymentSchedule4[[#This Row],[PMT NO]]&lt;&gt;"",PaymentSchedule4[[#This Row],[BEGINNING BALANCE]]*(InterestRate/PaymentsPerYear),"")</f>
        <v>340.88150281352159</v>
      </c>
      <c r="J21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90482.587621680461</v>
      </c>
      <c r="K217" s="32">
        <f>IF(PaymentSchedule4[[#This Row],[PMT NO]]&lt;&gt;"",SUM(INDEX(PaymentSchedule4[INTEREST],1,1):PaymentSchedule4[[#This Row],[INTEREST]]),"")</f>
        <v>94008.236498922226</v>
      </c>
    </row>
    <row r="218" spans="2:11" x14ac:dyDescent="0.3">
      <c r="B218" s="30">
        <f>IF(LoanIsGood,IF(ROW()-ROW(PaymentSchedule4[[#Headers],[PMT NO]])&gt;ScheduledNumberOfPayments,"",ROW()-ROW(PaymentSchedule4[[#Headers],[PMT NO]])),"")</f>
        <v>203</v>
      </c>
      <c r="C218" s="31">
        <f>IF(PaymentSchedule4[[#This Row],[PMT NO]]&lt;&gt;"",EOMONTH(LoanStartDate,ROW(PaymentSchedule4[[#This Row],[PMT NO]])-ROW(PaymentSchedule4[[#Headers],[PMT NO]])-2)+DAY(LoanStartDate),"")</f>
        <v>49522</v>
      </c>
      <c r="D218" s="32">
        <f>IF(PaymentSchedule4[[#This Row],[PMT NO]]&lt;&gt;"",IF(ROW()-ROW(PaymentSchedule4[[#Headers],[BEGINNING BALANCE]])=1,LoanAmount,INDEX(PaymentSchedule4[ENDING BALANCE],ROW()-ROW(PaymentSchedule4[[#Headers],[BEGINNING BALANCE]])-1)),"")</f>
        <v>90482.587621680461</v>
      </c>
      <c r="E218" s="32">
        <f>IF(PaymentSchedule4[[#This Row],[PMT NO]]&lt;&gt;"",ScheduledPayment,"")</f>
        <v>760.02796473882097</v>
      </c>
      <c r="F21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1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18" s="32">
        <f>IF(PaymentSchedule4[[#This Row],[PMT NO]]&lt;&gt;"",PaymentSchedule4[[#This Row],[TOTAL PAYMENT]]-PaymentSchedule4[[#This Row],[INTEREST]],"")</f>
        <v>420.71826115751924</v>
      </c>
      <c r="I218" s="32">
        <f>IF(PaymentSchedule4[[#This Row],[PMT NO]]&lt;&gt;"",PaymentSchedule4[[#This Row],[BEGINNING BALANCE]]*(InterestRate/PaymentsPerYear),"")</f>
        <v>339.30970358130173</v>
      </c>
      <c r="J21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90061.869360522935</v>
      </c>
      <c r="K218" s="32">
        <f>IF(PaymentSchedule4[[#This Row],[PMT NO]]&lt;&gt;"",SUM(INDEX(PaymentSchedule4[INTEREST],1,1):PaymentSchedule4[[#This Row],[INTEREST]]),"")</f>
        <v>94347.546202503523</v>
      </c>
    </row>
    <row r="219" spans="2:11" x14ac:dyDescent="0.3">
      <c r="B219" s="30">
        <f>IF(LoanIsGood,IF(ROW()-ROW(PaymentSchedule4[[#Headers],[PMT NO]])&gt;ScheduledNumberOfPayments,"",ROW()-ROW(PaymentSchedule4[[#Headers],[PMT NO]])),"")</f>
        <v>204</v>
      </c>
      <c r="C219" s="31">
        <f>IF(PaymentSchedule4[[#This Row],[PMT NO]]&lt;&gt;"",EOMONTH(LoanStartDate,ROW(PaymentSchedule4[[#This Row],[PMT NO]])-ROW(PaymentSchedule4[[#Headers],[PMT NO]])-2)+DAY(LoanStartDate),"")</f>
        <v>49553</v>
      </c>
      <c r="D219" s="32">
        <f>IF(PaymentSchedule4[[#This Row],[PMT NO]]&lt;&gt;"",IF(ROW()-ROW(PaymentSchedule4[[#Headers],[BEGINNING BALANCE]])=1,LoanAmount,INDEX(PaymentSchedule4[ENDING BALANCE],ROW()-ROW(PaymentSchedule4[[#Headers],[BEGINNING BALANCE]])-1)),"")</f>
        <v>90061.869360522935</v>
      </c>
      <c r="E219" s="32">
        <f>IF(PaymentSchedule4[[#This Row],[PMT NO]]&lt;&gt;"",ScheduledPayment,"")</f>
        <v>760.02796473882097</v>
      </c>
      <c r="F21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1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19" s="32">
        <f>IF(PaymentSchedule4[[#This Row],[PMT NO]]&lt;&gt;"",PaymentSchedule4[[#This Row],[TOTAL PAYMENT]]-PaymentSchedule4[[#This Row],[INTEREST]],"")</f>
        <v>422.29595463685996</v>
      </c>
      <c r="I219" s="32">
        <f>IF(PaymentSchedule4[[#This Row],[PMT NO]]&lt;&gt;"",PaymentSchedule4[[#This Row],[BEGINNING BALANCE]]*(InterestRate/PaymentsPerYear),"")</f>
        <v>337.73201010196101</v>
      </c>
      <c r="J21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89639.573405886069</v>
      </c>
      <c r="K219" s="32">
        <f>IF(PaymentSchedule4[[#This Row],[PMT NO]]&lt;&gt;"",SUM(INDEX(PaymentSchedule4[INTEREST],1,1):PaymentSchedule4[[#This Row],[INTEREST]]),"")</f>
        <v>94685.278212605481</v>
      </c>
    </row>
    <row r="220" spans="2:11" x14ac:dyDescent="0.3">
      <c r="B220" s="30">
        <f>IF(LoanIsGood,IF(ROW()-ROW(PaymentSchedule4[[#Headers],[PMT NO]])&gt;ScheduledNumberOfPayments,"",ROW()-ROW(PaymentSchedule4[[#Headers],[PMT NO]])),"")</f>
        <v>205</v>
      </c>
      <c r="C220" s="31">
        <f>IF(PaymentSchedule4[[#This Row],[PMT NO]]&lt;&gt;"",EOMONTH(LoanStartDate,ROW(PaymentSchedule4[[#This Row],[PMT NO]])-ROW(PaymentSchedule4[[#Headers],[PMT NO]])-2)+DAY(LoanStartDate),"")</f>
        <v>49583</v>
      </c>
      <c r="D220" s="32">
        <f>IF(PaymentSchedule4[[#This Row],[PMT NO]]&lt;&gt;"",IF(ROW()-ROW(PaymentSchedule4[[#Headers],[BEGINNING BALANCE]])=1,LoanAmount,INDEX(PaymentSchedule4[ENDING BALANCE],ROW()-ROW(PaymentSchedule4[[#Headers],[BEGINNING BALANCE]])-1)),"")</f>
        <v>89639.573405886069</v>
      </c>
      <c r="E220" s="32">
        <f>IF(PaymentSchedule4[[#This Row],[PMT NO]]&lt;&gt;"",ScheduledPayment,"")</f>
        <v>760.02796473882097</v>
      </c>
      <c r="F22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2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20" s="32">
        <f>IF(PaymentSchedule4[[#This Row],[PMT NO]]&lt;&gt;"",PaymentSchedule4[[#This Row],[TOTAL PAYMENT]]-PaymentSchedule4[[#This Row],[INTEREST]],"")</f>
        <v>423.87956446674821</v>
      </c>
      <c r="I220" s="32">
        <f>IF(PaymentSchedule4[[#This Row],[PMT NO]]&lt;&gt;"",PaymentSchedule4[[#This Row],[BEGINNING BALANCE]]*(InterestRate/PaymentsPerYear),"")</f>
        <v>336.14840027207276</v>
      </c>
      <c r="J22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89215.693841419314</v>
      </c>
      <c r="K220" s="32">
        <f>IF(PaymentSchedule4[[#This Row],[PMT NO]]&lt;&gt;"",SUM(INDEX(PaymentSchedule4[INTEREST],1,1):PaymentSchedule4[[#This Row],[INTEREST]]),"")</f>
        <v>95021.426612877549</v>
      </c>
    </row>
    <row r="221" spans="2:11" x14ac:dyDescent="0.3">
      <c r="B221" s="30">
        <f>IF(LoanIsGood,IF(ROW()-ROW(PaymentSchedule4[[#Headers],[PMT NO]])&gt;ScheduledNumberOfPayments,"",ROW()-ROW(PaymentSchedule4[[#Headers],[PMT NO]])),"")</f>
        <v>206</v>
      </c>
      <c r="C221" s="31">
        <f>IF(PaymentSchedule4[[#This Row],[PMT NO]]&lt;&gt;"",EOMONTH(LoanStartDate,ROW(PaymentSchedule4[[#This Row],[PMT NO]])-ROW(PaymentSchedule4[[#Headers],[PMT NO]])-2)+DAY(LoanStartDate),"")</f>
        <v>49614</v>
      </c>
      <c r="D221" s="32">
        <f>IF(PaymentSchedule4[[#This Row],[PMT NO]]&lt;&gt;"",IF(ROW()-ROW(PaymentSchedule4[[#Headers],[BEGINNING BALANCE]])=1,LoanAmount,INDEX(PaymentSchedule4[ENDING BALANCE],ROW()-ROW(PaymentSchedule4[[#Headers],[BEGINNING BALANCE]])-1)),"")</f>
        <v>89215.693841419314</v>
      </c>
      <c r="E221" s="32">
        <f>IF(PaymentSchedule4[[#This Row],[PMT NO]]&lt;&gt;"",ScheduledPayment,"")</f>
        <v>760.02796473882097</v>
      </c>
      <c r="F22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2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21" s="32">
        <f>IF(PaymentSchedule4[[#This Row],[PMT NO]]&lt;&gt;"",PaymentSchedule4[[#This Row],[TOTAL PAYMENT]]-PaymentSchedule4[[#This Row],[INTEREST]],"")</f>
        <v>425.46911283349857</v>
      </c>
      <c r="I221" s="32">
        <f>IF(PaymentSchedule4[[#This Row],[PMT NO]]&lt;&gt;"",PaymentSchedule4[[#This Row],[BEGINNING BALANCE]]*(InterestRate/PaymentsPerYear),"")</f>
        <v>334.5588519053224</v>
      </c>
      <c r="J22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88790.224728585818</v>
      </c>
      <c r="K221" s="32">
        <f>IF(PaymentSchedule4[[#This Row],[PMT NO]]&lt;&gt;"",SUM(INDEX(PaymentSchedule4[INTEREST],1,1):PaymentSchedule4[[#This Row],[INTEREST]]),"")</f>
        <v>95355.985464782876</v>
      </c>
    </row>
    <row r="222" spans="2:11" x14ac:dyDescent="0.3">
      <c r="B222" s="30">
        <f>IF(LoanIsGood,IF(ROW()-ROW(PaymentSchedule4[[#Headers],[PMT NO]])&gt;ScheduledNumberOfPayments,"",ROW()-ROW(PaymentSchedule4[[#Headers],[PMT NO]])),"")</f>
        <v>207</v>
      </c>
      <c r="C222" s="31">
        <f>IF(PaymentSchedule4[[#This Row],[PMT NO]]&lt;&gt;"",EOMONTH(LoanStartDate,ROW(PaymentSchedule4[[#This Row],[PMT NO]])-ROW(PaymentSchedule4[[#Headers],[PMT NO]])-2)+DAY(LoanStartDate),"")</f>
        <v>49644</v>
      </c>
      <c r="D222" s="32">
        <f>IF(PaymentSchedule4[[#This Row],[PMT NO]]&lt;&gt;"",IF(ROW()-ROW(PaymentSchedule4[[#Headers],[BEGINNING BALANCE]])=1,LoanAmount,INDEX(PaymentSchedule4[ENDING BALANCE],ROW()-ROW(PaymentSchedule4[[#Headers],[BEGINNING BALANCE]])-1)),"")</f>
        <v>88790.224728585818</v>
      </c>
      <c r="E222" s="32">
        <f>IF(PaymentSchedule4[[#This Row],[PMT NO]]&lt;&gt;"",ScheduledPayment,"")</f>
        <v>760.02796473882097</v>
      </c>
      <c r="F22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2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22" s="32">
        <f>IF(PaymentSchedule4[[#This Row],[PMT NO]]&lt;&gt;"",PaymentSchedule4[[#This Row],[TOTAL PAYMENT]]-PaymentSchedule4[[#This Row],[INTEREST]],"")</f>
        <v>427.06462200662418</v>
      </c>
      <c r="I222" s="32">
        <f>IF(PaymentSchedule4[[#This Row],[PMT NO]]&lt;&gt;"",PaymentSchedule4[[#This Row],[BEGINNING BALANCE]]*(InterestRate/PaymentsPerYear),"")</f>
        <v>332.96334273219679</v>
      </c>
      <c r="J22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88363.160106579191</v>
      </c>
      <c r="K222" s="32">
        <f>IF(PaymentSchedule4[[#This Row],[PMT NO]]&lt;&gt;"",SUM(INDEX(PaymentSchedule4[INTEREST],1,1):PaymentSchedule4[[#This Row],[INTEREST]]),"")</f>
        <v>95688.948807515073</v>
      </c>
    </row>
    <row r="223" spans="2:11" x14ac:dyDescent="0.3">
      <c r="B223" s="30">
        <f>IF(LoanIsGood,IF(ROW()-ROW(PaymentSchedule4[[#Headers],[PMT NO]])&gt;ScheduledNumberOfPayments,"",ROW()-ROW(PaymentSchedule4[[#Headers],[PMT NO]])),"")</f>
        <v>208</v>
      </c>
      <c r="C223" s="31">
        <f>IF(PaymentSchedule4[[#This Row],[PMT NO]]&lt;&gt;"",EOMONTH(LoanStartDate,ROW(PaymentSchedule4[[#This Row],[PMT NO]])-ROW(PaymentSchedule4[[#Headers],[PMT NO]])-2)+DAY(LoanStartDate),"")</f>
        <v>49675</v>
      </c>
      <c r="D223" s="32">
        <f>IF(PaymentSchedule4[[#This Row],[PMT NO]]&lt;&gt;"",IF(ROW()-ROW(PaymentSchedule4[[#Headers],[BEGINNING BALANCE]])=1,LoanAmount,INDEX(PaymentSchedule4[ENDING BALANCE],ROW()-ROW(PaymentSchedule4[[#Headers],[BEGINNING BALANCE]])-1)),"")</f>
        <v>88363.160106579191</v>
      </c>
      <c r="E223" s="32">
        <f>IF(PaymentSchedule4[[#This Row],[PMT NO]]&lt;&gt;"",ScheduledPayment,"")</f>
        <v>760.02796473882097</v>
      </c>
      <c r="F22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2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23" s="32">
        <f>IF(PaymentSchedule4[[#This Row],[PMT NO]]&lt;&gt;"",PaymentSchedule4[[#This Row],[TOTAL PAYMENT]]-PaymentSchedule4[[#This Row],[INTEREST]],"")</f>
        <v>428.66611433914903</v>
      </c>
      <c r="I223" s="32">
        <f>IF(PaymentSchedule4[[#This Row],[PMT NO]]&lt;&gt;"",PaymentSchedule4[[#This Row],[BEGINNING BALANCE]]*(InterestRate/PaymentsPerYear),"")</f>
        <v>331.36185039967194</v>
      </c>
      <c r="J22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87934.493992240037</v>
      </c>
      <c r="K223" s="32">
        <f>IF(PaymentSchedule4[[#This Row],[PMT NO]]&lt;&gt;"",SUM(INDEX(PaymentSchedule4[INTEREST],1,1):PaymentSchedule4[[#This Row],[INTEREST]]),"")</f>
        <v>96020.310657914742</v>
      </c>
    </row>
    <row r="224" spans="2:11" x14ac:dyDescent="0.3">
      <c r="B224" s="30">
        <f>IF(LoanIsGood,IF(ROW()-ROW(PaymentSchedule4[[#Headers],[PMT NO]])&gt;ScheduledNumberOfPayments,"",ROW()-ROW(PaymentSchedule4[[#Headers],[PMT NO]])),"")</f>
        <v>209</v>
      </c>
      <c r="C224" s="31">
        <f>IF(PaymentSchedule4[[#This Row],[PMT NO]]&lt;&gt;"",EOMONTH(LoanStartDate,ROW(PaymentSchedule4[[#This Row],[PMT NO]])-ROW(PaymentSchedule4[[#Headers],[PMT NO]])-2)+DAY(LoanStartDate),"")</f>
        <v>49706</v>
      </c>
      <c r="D224" s="32">
        <f>IF(PaymentSchedule4[[#This Row],[PMT NO]]&lt;&gt;"",IF(ROW()-ROW(PaymentSchedule4[[#Headers],[BEGINNING BALANCE]])=1,LoanAmount,INDEX(PaymentSchedule4[ENDING BALANCE],ROW()-ROW(PaymentSchedule4[[#Headers],[BEGINNING BALANCE]])-1)),"")</f>
        <v>87934.493992240037</v>
      </c>
      <c r="E224" s="32">
        <f>IF(PaymentSchedule4[[#This Row],[PMT NO]]&lt;&gt;"",ScheduledPayment,"")</f>
        <v>760.02796473882097</v>
      </c>
      <c r="F22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2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24" s="32">
        <f>IF(PaymentSchedule4[[#This Row],[PMT NO]]&lt;&gt;"",PaymentSchedule4[[#This Row],[TOTAL PAYMENT]]-PaymentSchedule4[[#This Row],[INTEREST]],"")</f>
        <v>430.27361226792084</v>
      </c>
      <c r="I224" s="32">
        <f>IF(PaymentSchedule4[[#This Row],[PMT NO]]&lt;&gt;"",PaymentSchedule4[[#This Row],[BEGINNING BALANCE]]*(InterestRate/PaymentsPerYear),"")</f>
        <v>329.75435247090013</v>
      </c>
      <c r="J22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87504.220379972117</v>
      </c>
      <c r="K224" s="32">
        <f>IF(PaymentSchedule4[[#This Row],[PMT NO]]&lt;&gt;"",SUM(INDEX(PaymentSchedule4[INTEREST],1,1):PaymentSchedule4[[#This Row],[INTEREST]]),"")</f>
        <v>96350.065010385646</v>
      </c>
    </row>
    <row r="225" spans="2:11" x14ac:dyDescent="0.3">
      <c r="B225" s="30">
        <f>IF(LoanIsGood,IF(ROW()-ROW(PaymentSchedule4[[#Headers],[PMT NO]])&gt;ScheduledNumberOfPayments,"",ROW()-ROW(PaymentSchedule4[[#Headers],[PMT NO]])),"")</f>
        <v>210</v>
      </c>
      <c r="C225" s="31">
        <f>IF(PaymentSchedule4[[#This Row],[PMT NO]]&lt;&gt;"",EOMONTH(LoanStartDate,ROW(PaymentSchedule4[[#This Row],[PMT NO]])-ROW(PaymentSchedule4[[#Headers],[PMT NO]])-2)+DAY(LoanStartDate),"")</f>
        <v>49735</v>
      </c>
      <c r="D225" s="32">
        <f>IF(PaymentSchedule4[[#This Row],[PMT NO]]&lt;&gt;"",IF(ROW()-ROW(PaymentSchedule4[[#Headers],[BEGINNING BALANCE]])=1,LoanAmount,INDEX(PaymentSchedule4[ENDING BALANCE],ROW()-ROW(PaymentSchedule4[[#Headers],[BEGINNING BALANCE]])-1)),"")</f>
        <v>87504.220379972117</v>
      </c>
      <c r="E225" s="32">
        <f>IF(PaymentSchedule4[[#This Row],[PMT NO]]&lt;&gt;"",ScheduledPayment,"")</f>
        <v>760.02796473882097</v>
      </c>
      <c r="F22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2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25" s="32">
        <f>IF(PaymentSchedule4[[#This Row],[PMT NO]]&lt;&gt;"",PaymentSchedule4[[#This Row],[TOTAL PAYMENT]]-PaymentSchedule4[[#This Row],[INTEREST]],"")</f>
        <v>431.88713831392556</v>
      </c>
      <c r="I225" s="32">
        <f>IF(PaymentSchedule4[[#This Row],[PMT NO]]&lt;&gt;"",PaymentSchedule4[[#This Row],[BEGINNING BALANCE]]*(InterestRate/PaymentsPerYear),"")</f>
        <v>328.14082642489541</v>
      </c>
      <c r="J22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87072.333241658198</v>
      </c>
      <c r="K225" s="32">
        <f>IF(PaymentSchedule4[[#This Row],[PMT NO]]&lt;&gt;"",SUM(INDEX(PaymentSchedule4[INTEREST],1,1):PaymentSchedule4[[#This Row],[INTEREST]]),"")</f>
        <v>96678.205836810535</v>
      </c>
    </row>
    <row r="226" spans="2:11" x14ac:dyDescent="0.3">
      <c r="B226" s="30">
        <f>IF(LoanIsGood,IF(ROW()-ROW(PaymentSchedule4[[#Headers],[PMT NO]])&gt;ScheduledNumberOfPayments,"",ROW()-ROW(PaymentSchedule4[[#Headers],[PMT NO]])),"")</f>
        <v>211</v>
      </c>
      <c r="C226" s="31">
        <f>IF(PaymentSchedule4[[#This Row],[PMT NO]]&lt;&gt;"",EOMONTH(LoanStartDate,ROW(PaymentSchedule4[[#This Row],[PMT NO]])-ROW(PaymentSchedule4[[#Headers],[PMT NO]])-2)+DAY(LoanStartDate),"")</f>
        <v>49766</v>
      </c>
      <c r="D226" s="32">
        <f>IF(PaymentSchedule4[[#This Row],[PMT NO]]&lt;&gt;"",IF(ROW()-ROW(PaymentSchedule4[[#Headers],[BEGINNING BALANCE]])=1,LoanAmount,INDEX(PaymentSchedule4[ENDING BALANCE],ROW()-ROW(PaymentSchedule4[[#Headers],[BEGINNING BALANCE]])-1)),"")</f>
        <v>87072.333241658198</v>
      </c>
      <c r="E226" s="32">
        <f>IF(PaymentSchedule4[[#This Row],[PMT NO]]&lt;&gt;"",ScheduledPayment,"")</f>
        <v>760.02796473882097</v>
      </c>
      <c r="F22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2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26" s="32">
        <f>IF(PaymentSchedule4[[#This Row],[PMT NO]]&lt;&gt;"",PaymentSchedule4[[#This Row],[TOTAL PAYMENT]]-PaymentSchedule4[[#This Row],[INTEREST]],"")</f>
        <v>433.50671508260274</v>
      </c>
      <c r="I226" s="32">
        <f>IF(PaymentSchedule4[[#This Row],[PMT NO]]&lt;&gt;"",PaymentSchedule4[[#This Row],[BEGINNING BALANCE]]*(InterestRate/PaymentsPerYear),"")</f>
        <v>326.52124965621823</v>
      </c>
      <c r="J22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86638.826526575591</v>
      </c>
      <c r="K226" s="32">
        <f>IF(PaymentSchedule4[[#This Row],[PMT NO]]&lt;&gt;"",SUM(INDEX(PaymentSchedule4[INTEREST],1,1):PaymentSchedule4[[#This Row],[INTEREST]]),"")</f>
        <v>97004.727086466752</v>
      </c>
    </row>
    <row r="227" spans="2:11" x14ac:dyDescent="0.3">
      <c r="B227" s="30">
        <f>IF(LoanIsGood,IF(ROW()-ROW(PaymentSchedule4[[#Headers],[PMT NO]])&gt;ScheduledNumberOfPayments,"",ROW()-ROW(PaymentSchedule4[[#Headers],[PMT NO]])),"")</f>
        <v>212</v>
      </c>
      <c r="C227" s="31">
        <f>IF(PaymentSchedule4[[#This Row],[PMT NO]]&lt;&gt;"",EOMONTH(LoanStartDate,ROW(PaymentSchedule4[[#This Row],[PMT NO]])-ROW(PaymentSchedule4[[#Headers],[PMT NO]])-2)+DAY(LoanStartDate),"")</f>
        <v>49796</v>
      </c>
      <c r="D227" s="32">
        <f>IF(PaymentSchedule4[[#This Row],[PMT NO]]&lt;&gt;"",IF(ROW()-ROW(PaymentSchedule4[[#Headers],[BEGINNING BALANCE]])=1,LoanAmount,INDEX(PaymentSchedule4[ENDING BALANCE],ROW()-ROW(PaymentSchedule4[[#Headers],[BEGINNING BALANCE]])-1)),"")</f>
        <v>86638.826526575591</v>
      </c>
      <c r="E227" s="32">
        <f>IF(PaymentSchedule4[[#This Row],[PMT NO]]&lt;&gt;"",ScheduledPayment,"")</f>
        <v>760.02796473882097</v>
      </c>
      <c r="F22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2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27" s="32">
        <f>IF(PaymentSchedule4[[#This Row],[PMT NO]]&lt;&gt;"",PaymentSchedule4[[#This Row],[TOTAL PAYMENT]]-PaymentSchedule4[[#This Row],[INTEREST]],"")</f>
        <v>435.1323652641625</v>
      </c>
      <c r="I227" s="32">
        <f>IF(PaymentSchedule4[[#This Row],[PMT NO]]&lt;&gt;"",PaymentSchedule4[[#This Row],[BEGINNING BALANCE]]*(InterestRate/PaymentsPerYear),"")</f>
        <v>324.89559947465847</v>
      </c>
      <c r="J22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86203.694161311432</v>
      </c>
      <c r="K227" s="32">
        <f>IF(PaymentSchedule4[[#This Row],[PMT NO]]&lt;&gt;"",SUM(INDEX(PaymentSchedule4[INTEREST],1,1):PaymentSchedule4[[#This Row],[INTEREST]]),"")</f>
        <v>97329.622685941416</v>
      </c>
    </row>
    <row r="228" spans="2:11" x14ac:dyDescent="0.3">
      <c r="B228" s="30">
        <f>IF(LoanIsGood,IF(ROW()-ROW(PaymentSchedule4[[#Headers],[PMT NO]])&gt;ScheduledNumberOfPayments,"",ROW()-ROW(PaymentSchedule4[[#Headers],[PMT NO]])),"")</f>
        <v>213</v>
      </c>
      <c r="C228" s="31">
        <f>IF(PaymentSchedule4[[#This Row],[PMT NO]]&lt;&gt;"",EOMONTH(LoanStartDate,ROW(PaymentSchedule4[[#This Row],[PMT NO]])-ROW(PaymentSchedule4[[#Headers],[PMT NO]])-2)+DAY(LoanStartDate),"")</f>
        <v>49827</v>
      </c>
      <c r="D228" s="32">
        <f>IF(PaymentSchedule4[[#This Row],[PMT NO]]&lt;&gt;"",IF(ROW()-ROW(PaymentSchedule4[[#Headers],[BEGINNING BALANCE]])=1,LoanAmount,INDEX(PaymentSchedule4[ENDING BALANCE],ROW()-ROW(PaymentSchedule4[[#Headers],[BEGINNING BALANCE]])-1)),"")</f>
        <v>86203.694161311432</v>
      </c>
      <c r="E228" s="32">
        <f>IF(PaymentSchedule4[[#This Row],[PMT NO]]&lt;&gt;"",ScheduledPayment,"")</f>
        <v>760.02796473882097</v>
      </c>
      <c r="F22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2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28" s="32">
        <f>IF(PaymentSchedule4[[#This Row],[PMT NO]]&lt;&gt;"",PaymentSchedule4[[#This Row],[TOTAL PAYMENT]]-PaymentSchedule4[[#This Row],[INTEREST]],"")</f>
        <v>436.7641116339031</v>
      </c>
      <c r="I228" s="32">
        <f>IF(PaymentSchedule4[[#This Row],[PMT NO]]&lt;&gt;"",PaymentSchedule4[[#This Row],[BEGINNING BALANCE]]*(InterestRate/PaymentsPerYear),"")</f>
        <v>323.26385310491787</v>
      </c>
      <c r="J22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85766.930049677525</v>
      </c>
      <c r="K228" s="32">
        <f>IF(PaymentSchedule4[[#This Row],[PMT NO]]&lt;&gt;"",SUM(INDEX(PaymentSchedule4[INTEREST],1,1):PaymentSchedule4[[#This Row],[INTEREST]]),"")</f>
        <v>97652.886539046332</v>
      </c>
    </row>
    <row r="229" spans="2:11" x14ac:dyDescent="0.3">
      <c r="B229" s="30">
        <f>IF(LoanIsGood,IF(ROW()-ROW(PaymentSchedule4[[#Headers],[PMT NO]])&gt;ScheduledNumberOfPayments,"",ROW()-ROW(PaymentSchedule4[[#Headers],[PMT NO]])),"")</f>
        <v>214</v>
      </c>
      <c r="C229" s="31">
        <f>IF(PaymentSchedule4[[#This Row],[PMT NO]]&lt;&gt;"",EOMONTH(LoanStartDate,ROW(PaymentSchedule4[[#This Row],[PMT NO]])-ROW(PaymentSchedule4[[#Headers],[PMT NO]])-2)+DAY(LoanStartDate),"")</f>
        <v>49857</v>
      </c>
      <c r="D229" s="32">
        <f>IF(PaymentSchedule4[[#This Row],[PMT NO]]&lt;&gt;"",IF(ROW()-ROW(PaymentSchedule4[[#Headers],[BEGINNING BALANCE]])=1,LoanAmount,INDEX(PaymentSchedule4[ENDING BALANCE],ROW()-ROW(PaymentSchedule4[[#Headers],[BEGINNING BALANCE]])-1)),"")</f>
        <v>85766.930049677525</v>
      </c>
      <c r="E229" s="32">
        <f>IF(PaymentSchedule4[[#This Row],[PMT NO]]&lt;&gt;"",ScheduledPayment,"")</f>
        <v>760.02796473882097</v>
      </c>
      <c r="F22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2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29" s="32">
        <f>IF(PaymentSchedule4[[#This Row],[PMT NO]]&lt;&gt;"",PaymentSchedule4[[#This Row],[TOTAL PAYMENT]]-PaymentSchedule4[[#This Row],[INTEREST]],"")</f>
        <v>438.40197705253024</v>
      </c>
      <c r="I229" s="32">
        <f>IF(PaymentSchedule4[[#This Row],[PMT NO]]&lt;&gt;"",PaymentSchedule4[[#This Row],[BEGINNING BALANCE]]*(InterestRate/PaymentsPerYear),"")</f>
        <v>321.62598768629073</v>
      </c>
      <c r="J22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85328.528072624991</v>
      </c>
      <c r="K229" s="32">
        <f>IF(PaymentSchedule4[[#This Row],[PMT NO]]&lt;&gt;"",SUM(INDEX(PaymentSchedule4[INTEREST],1,1):PaymentSchedule4[[#This Row],[INTEREST]]),"")</f>
        <v>97974.512526732622</v>
      </c>
    </row>
    <row r="230" spans="2:11" x14ac:dyDescent="0.3">
      <c r="B230" s="30">
        <f>IF(LoanIsGood,IF(ROW()-ROW(PaymentSchedule4[[#Headers],[PMT NO]])&gt;ScheduledNumberOfPayments,"",ROW()-ROW(PaymentSchedule4[[#Headers],[PMT NO]])),"")</f>
        <v>215</v>
      </c>
      <c r="C230" s="31">
        <f>IF(PaymentSchedule4[[#This Row],[PMT NO]]&lt;&gt;"",EOMONTH(LoanStartDate,ROW(PaymentSchedule4[[#This Row],[PMT NO]])-ROW(PaymentSchedule4[[#Headers],[PMT NO]])-2)+DAY(LoanStartDate),"")</f>
        <v>49888</v>
      </c>
      <c r="D230" s="32">
        <f>IF(PaymentSchedule4[[#This Row],[PMT NO]]&lt;&gt;"",IF(ROW()-ROW(PaymentSchedule4[[#Headers],[BEGINNING BALANCE]])=1,LoanAmount,INDEX(PaymentSchedule4[ENDING BALANCE],ROW()-ROW(PaymentSchedule4[[#Headers],[BEGINNING BALANCE]])-1)),"")</f>
        <v>85328.528072624991</v>
      </c>
      <c r="E230" s="32">
        <f>IF(PaymentSchedule4[[#This Row],[PMT NO]]&lt;&gt;"",ScheduledPayment,"")</f>
        <v>760.02796473882097</v>
      </c>
      <c r="F23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3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30" s="32">
        <f>IF(PaymentSchedule4[[#This Row],[PMT NO]]&lt;&gt;"",PaymentSchedule4[[#This Row],[TOTAL PAYMENT]]-PaymentSchedule4[[#This Row],[INTEREST]],"")</f>
        <v>440.04598446647725</v>
      </c>
      <c r="I230" s="32">
        <f>IF(PaymentSchedule4[[#This Row],[PMT NO]]&lt;&gt;"",PaymentSchedule4[[#This Row],[BEGINNING BALANCE]]*(InterestRate/PaymentsPerYear),"")</f>
        <v>319.98198027234372</v>
      </c>
      <c r="J23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84888.482088158518</v>
      </c>
      <c r="K230" s="32">
        <f>IF(PaymentSchedule4[[#This Row],[PMT NO]]&lt;&gt;"",SUM(INDEX(PaymentSchedule4[INTEREST],1,1):PaymentSchedule4[[#This Row],[INTEREST]]),"")</f>
        <v>98294.494507004973</v>
      </c>
    </row>
    <row r="231" spans="2:11" x14ac:dyDescent="0.3">
      <c r="B231" s="30">
        <f>IF(LoanIsGood,IF(ROW()-ROW(PaymentSchedule4[[#Headers],[PMT NO]])&gt;ScheduledNumberOfPayments,"",ROW()-ROW(PaymentSchedule4[[#Headers],[PMT NO]])),"")</f>
        <v>216</v>
      </c>
      <c r="C231" s="31">
        <f>IF(PaymentSchedule4[[#This Row],[PMT NO]]&lt;&gt;"",EOMONTH(LoanStartDate,ROW(PaymentSchedule4[[#This Row],[PMT NO]])-ROW(PaymentSchedule4[[#Headers],[PMT NO]])-2)+DAY(LoanStartDate),"")</f>
        <v>49919</v>
      </c>
      <c r="D231" s="32">
        <f>IF(PaymentSchedule4[[#This Row],[PMT NO]]&lt;&gt;"",IF(ROW()-ROW(PaymentSchedule4[[#Headers],[BEGINNING BALANCE]])=1,LoanAmount,INDEX(PaymentSchedule4[ENDING BALANCE],ROW()-ROW(PaymentSchedule4[[#Headers],[BEGINNING BALANCE]])-1)),"")</f>
        <v>84888.482088158518</v>
      </c>
      <c r="E231" s="32">
        <f>IF(PaymentSchedule4[[#This Row],[PMT NO]]&lt;&gt;"",ScheduledPayment,"")</f>
        <v>760.02796473882097</v>
      </c>
      <c r="F23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3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31" s="32">
        <f>IF(PaymentSchedule4[[#This Row],[PMT NO]]&lt;&gt;"",PaymentSchedule4[[#This Row],[TOTAL PAYMENT]]-PaymentSchedule4[[#This Row],[INTEREST]],"")</f>
        <v>441.69615690822656</v>
      </c>
      <c r="I231" s="32">
        <f>IF(PaymentSchedule4[[#This Row],[PMT NO]]&lt;&gt;"",PaymentSchedule4[[#This Row],[BEGINNING BALANCE]]*(InterestRate/PaymentsPerYear),"")</f>
        <v>318.33180783059441</v>
      </c>
      <c r="J23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84446.785931250299</v>
      </c>
      <c r="K231" s="32">
        <f>IF(PaymentSchedule4[[#This Row],[PMT NO]]&lt;&gt;"",SUM(INDEX(PaymentSchedule4[INTEREST],1,1):PaymentSchedule4[[#This Row],[INTEREST]]),"")</f>
        <v>98612.826314835562</v>
      </c>
    </row>
    <row r="232" spans="2:11" x14ac:dyDescent="0.3">
      <c r="B232" s="30">
        <f>IF(LoanIsGood,IF(ROW()-ROW(PaymentSchedule4[[#Headers],[PMT NO]])&gt;ScheduledNumberOfPayments,"",ROW()-ROW(PaymentSchedule4[[#Headers],[PMT NO]])),"")</f>
        <v>217</v>
      </c>
      <c r="C232" s="31">
        <f>IF(PaymentSchedule4[[#This Row],[PMT NO]]&lt;&gt;"",EOMONTH(LoanStartDate,ROW(PaymentSchedule4[[#This Row],[PMT NO]])-ROW(PaymentSchedule4[[#Headers],[PMT NO]])-2)+DAY(LoanStartDate),"")</f>
        <v>49949</v>
      </c>
      <c r="D232" s="32">
        <f>IF(PaymentSchedule4[[#This Row],[PMT NO]]&lt;&gt;"",IF(ROW()-ROW(PaymentSchedule4[[#Headers],[BEGINNING BALANCE]])=1,LoanAmount,INDEX(PaymentSchedule4[ENDING BALANCE],ROW()-ROW(PaymentSchedule4[[#Headers],[BEGINNING BALANCE]])-1)),"")</f>
        <v>84446.785931250299</v>
      </c>
      <c r="E232" s="32">
        <f>IF(PaymentSchedule4[[#This Row],[PMT NO]]&lt;&gt;"",ScheduledPayment,"")</f>
        <v>760.02796473882097</v>
      </c>
      <c r="F23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3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32" s="32">
        <f>IF(PaymentSchedule4[[#This Row],[PMT NO]]&lt;&gt;"",PaymentSchedule4[[#This Row],[TOTAL PAYMENT]]-PaymentSchedule4[[#This Row],[INTEREST]],"")</f>
        <v>443.35251749663234</v>
      </c>
      <c r="I232" s="32">
        <f>IF(PaymentSchedule4[[#This Row],[PMT NO]]&lt;&gt;"",PaymentSchedule4[[#This Row],[BEGINNING BALANCE]]*(InterestRate/PaymentsPerYear),"")</f>
        <v>316.67544724218862</v>
      </c>
      <c r="J23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84003.433413753664</v>
      </c>
      <c r="K232" s="32">
        <f>IF(PaymentSchedule4[[#This Row],[PMT NO]]&lt;&gt;"",SUM(INDEX(PaymentSchedule4[INTEREST],1,1):PaymentSchedule4[[#This Row],[INTEREST]]),"")</f>
        <v>98929.501762077751</v>
      </c>
    </row>
    <row r="233" spans="2:11" x14ac:dyDescent="0.3">
      <c r="B233" s="30">
        <f>IF(LoanIsGood,IF(ROW()-ROW(PaymentSchedule4[[#Headers],[PMT NO]])&gt;ScheduledNumberOfPayments,"",ROW()-ROW(PaymentSchedule4[[#Headers],[PMT NO]])),"")</f>
        <v>218</v>
      </c>
      <c r="C233" s="31">
        <f>IF(PaymentSchedule4[[#This Row],[PMT NO]]&lt;&gt;"",EOMONTH(LoanStartDate,ROW(PaymentSchedule4[[#This Row],[PMT NO]])-ROW(PaymentSchedule4[[#Headers],[PMT NO]])-2)+DAY(LoanStartDate),"")</f>
        <v>49980</v>
      </c>
      <c r="D233" s="32">
        <f>IF(PaymentSchedule4[[#This Row],[PMT NO]]&lt;&gt;"",IF(ROW()-ROW(PaymentSchedule4[[#Headers],[BEGINNING BALANCE]])=1,LoanAmount,INDEX(PaymentSchedule4[ENDING BALANCE],ROW()-ROW(PaymentSchedule4[[#Headers],[BEGINNING BALANCE]])-1)),"")</f>
        <v>84003.433413753664</v>
      </c>
      <c r="E233" s="32">
        <f>IF(PaymentSchedule4[[#This Row],[PMT NO]]&lt;&gt;"",ScheduledPayment,"")</f>
        <v>760.02796473882097</v>
      </c>
      <c r="F23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3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33" s="32">
        <f>IF(PaymentSchedule4[[#This Row],[PMT NO]]&lt;&gt;"",PaymentSchedule4[[#This Row],[TOTAL PAYMENT]]-PaymentSchedule4[[#This Row],[INTEREST]],"")</f>
        <v>445.01508943724474</v>
      </c>
      <c r="I233" s="32">
        <f>IF(PaymentSchedule4[[#This Row],[PMT NO]]&lt;&gt;"",PaymentSchedule4[[#This Row],[BEGINNING BALANCE]]*(InterestRate/PaymentsPerYear),"")</f>
        <v>315.01287530157623</v>
      </c>
      <c r="J23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83558.418324316415</v>
      </c>
      <c r="K233" s="32">
        <f>IF(PaymentSchedule4[[#This Row],[PMT NO]]&lt;&gt;"",SUM(INDEX(PaymentSchedule4[INTEREST],1,1):PaymentSchedule4[[#This Row],[INTEREST]]),"")</f>
        <v>99244.514637379325</v>
      </c>
    </row>
    <row r="234" spans="2:11" x14ac:dyDescent="0.3">
      <c r="B234" s="30">
        <f>IF(LoanIsGood,IF(ROW()-ROW(PaymentSchedule4[[#Headers],[PMT NO]])&gt;ScheduledNumberOfPayments,"",ROW()-ROW(PaymentSchedule4[[#Headers],[PMT NO]])),"")</f>
        <v>219</v>
      </c>
      <c r="C234" s="31">
        <f>IF(PaymentSchedule4[[#This Row],[PMT NO]]&lt;&gt;"",EOMONTH(LoanStartDate,ROW(PaymentSchedule4[[#This Row],[PMT NO]])-ROW(PaymentSchedule4[[#Headers],[PMT NO]])-2)+DAY(LoanStartDate),"")</f>
        <v>50010</v>
      </c>
      <c r="D234" s="32">
        <f>IF(PaymentSchedule4[[#This Row],[PMT NO]]&lt;&gt;"",IF(ROW()-ROW(PaymentSchedule4[[#Headers],[BEGINNING BALANCE]])=1,LoanAmount,INDEX(PaymentSchedule4[ENDING BALANCE],ROW()-ROW(PaymentSchedule4[[#Headers],[BEGINNING BALANCE]])-1)),"")</f>
        <v>83558.418324316415</v>
      </c>
      <c r="E234" s="32">
        <f>IF(PaymentSchedule4[[#This Row],[PMT NO]]&lt;&gt;"",ScheduledPayment,"")</f>
        <v>760.02796473882097</v>
      </c>
      <c r="F23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3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34" s="32">
        <f>IF(PaymentSchedule4[[#This Row],[PMT NO]]&lt;&gt;"",PaymentSchedule4[[#This Row],[TOTAL PAYMENT]]-PaymentSchedule4[[#This Row],[INTEREST]],"")</f>
        <v>446.68389602263443</v>
      </c>
      <c r="I234" s="32">
        <f>IF(PaymentSchedule4[[#This Row],[PMT NO]]&lt;&gt;"",PaymentSchedule4[[#This Row],[BEGINNING BALANCE]]*(InterestRate/PaymentsPerYear),"")</f>
        <v>313.34406871618654</v>
      </c>
      <c r="J23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83111.734428293785</v>
      </c>
      <c r="K234" s="32">
        <f>IF(PaymentSchedule4[[#This Row],[PMT NO]]&lt;&gt;"",SUM(INDEX(PaymentSchedule4[INTEREST],1,1):PaymentSchedule4[[#This Row],[INTEREST]]),"")</f>
        <v>99557.858706095518</v>
      </c>
    </row>
    <row r="235" spans="2:11" x14ac:dyDescent="0.3">
      <c r="B235" s="30">
        <f>IF(LoanIsGood,IF(ROW()-ROW(PaymentSchedule4[[#Headers],[PMT NO]])&gt;ScheduledNumberOfPayments,"",ROW()-ROW(PaymentSchedule4[[#Headers],[PMT NO]])),"")</f>
        <v>220</v>
      </c>
      <c r="C235" s="31">
        <f>IF(PaymentSchedule4[[#This Row],[PMT NO]]&lt;&gt;"",EOMONTH(LoanStartDate,ROW(PaymentSchedule4[[#This Row],[PMT NO]])-ROW(PaymentSchedule4[[#Headers],[PMT NO]])-2)+DAY(LoanStartDate),"")</f>
        <v>50041</v>
      </c>
      <c r="D235" s="32">
        <f>IF(PaymentSchedule4[[#This Row],[PMT NO]]&lt;&gt;"",IF(ROW()-ROW(PaymentSchedule4[[#Headers],[BEGINNING BALANCE]])=1,LoanAmount,INDEX(PaymentSchedule4[ENDING BALANCE],ROW()-ROW(PaymentSchedule4[[#Headers],[BEGINNING BALANCE]])-1)),"")</f>
        <v>83111.734428293785</v>
      </c>
      <c r="E235" s="32">
        <f>IF(PaymentSchedule4[[#This Row],[PMT NO]]&lt;&gt;"",ScheduledPayment,"")</f>
        <v>760.02796473882097</v>
      </c>
      <c r="F23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3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35" s="32">
        <f>IF(PaymentSchedule4[[#This Row],[PMT NO]]&lt;&gt;"",PaymentSchedule4[[#This Row],[TOTAL PAYMENT]]-PaymentSchedule4[[#This Row],[INTEREST]],"")</f>
        <v>448.35896063271929</v>
      </c>
      <c r="I235" s="32">
        <f>IF(PaymentSchedule4[[#This Row],[PMT NO]]&lt;&gt;"",PaymentSchedule4[[#This Row],[BEGINNING BALANCE]]*(InterestRate/PaymentsPerYear),"")</f>
        <v>311.66900410610168</v>
      </c>
      <c r="J23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82663.37546766107</v>
      </c>
      <c r="K235" s="32">
        <f>IF(PaymentSchedule4[[#This Row],[PMT NO]]&lt;&gt;"",SUM(INDEX(PaymentSchedule4[INTEREST],1,1):PaymentSchedule4[[#This Row],[INTEREST]]),"")</f>
        <v>99869.527710201626</v>
      </c>
    </row>
    <row r="236" spans="2:11" x14ac:dyDescent="0.3">
      <c r="B236" s="30">
        <f>IF(LoanIsGood,IF(ROW()-ROW(PaymentSchedule4[[#Headers],[PMT NO]])&gt;ScheduledNumberOfPayments,"",ROW()-ROW(PaymentSchedule4[[#Headers],[PMT NO]])),"")</f>
        <v>221</v>
      </c>
      <c r="C236" s="31">
        <f>IF(PaymentSchedule4[[#This Row],[PMT NO]]&lt;&gt;"",EOMONTH(LoanStartDate,ROW(PaymentSchedule4[[#This Row],[PMT NO]])-ROW(PaymentSchedule4[[#Headers],[PMT NO]])-2)+DAY(LoanStartDate),"")</f>
        <v>50072</v>
      </c>
      <c r="D236" s="32">
        <f>IF(PaymentSchedule4[[#This Row],[PMT NO]]&lt;&gt;"",IF(ROW()-ROW(PaymentSchedule4[[#Headers],[BEGINNING BALANCE]])=1,LoanAmount,INDEX(PaymentSchedule4[ENDING BALANCE],ROW()-ROW(PaymentSchedule4[[#Headers],[BEGINNING BALANCE]])-1)),"")</f>
        <v>82663.37546766107</v>
      </c>
      <c r="E236" s="32">
        <f>IF(PaymentSchedule4[[#This Row],[PMT NO]]&lt;&gt;"",ScheduledPayment,"")</f>
        <v>760.02796473882097</v>
      </c>
      <c r="F23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3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36" s="32">
        <f>IF(PaymentSchedule4[[#This Row],[PMT NO]]&lt;&gt;"",PaymentSchedule4[[#This Row],[TOTAL PAYMENT]]-PaymentSchedule4[[#This Row],[INTEREST]],"")</f>
        <v>450.04030673509197</v>
      </c>
      <c r="I236" s="32">
        <f>IF(PaymentSchedule4[[#This Row],[PMT NO]]&lt;&gt;"",PaymentSchedule4[[#This Row],[BEGINNING BALANCE]]*(InterestRate/PaymentsPerYear),"")</f>
        <v>309.987658003729</v>
      </c>
      <c r="J23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82213.335160925984</v>
      </c>
      <c r="K236" s="32">
        <f>IF(PaymentSchedule4[[#This Row],[PMT NO]]&lt;&gt;"",SUM(INDEX(PaymentSchedule4[INTEREST],1,1):PaymentSchedule4[[#This Row],[INTEREST]]),"")</f>
        <v>100179.51536820535</v>
      </c>
    </row>
    <row r="237" spans="2:11" x14ac:dyDescent="0.3">
      <c r="B237" s="30">
        <f>IF(LoanIsGood,IF(ROW()-ROW(PaymentSchedule4[[#Headers],[PMT NO]])&gt;ScheduledNumberOfPayments,"",ROW()-ROW(PaymentSchedule4[[#Headers],[PMT NO]])),"")</f>
        <v>222</v>
      </c>
      <c r="C237" s="31">
        <f>IF(PaymentSchedule4[[#This Row],[PMT NO]]&lt;&gt;"",EOMONTH(LoanStartDate,ROW(PaymentSchedule4[[#This Row],[PMT NO]])-ROW(PaymentSchedule4[[#Headers],[PMT NO]])-2)+DAY(LoanStartDate),"")</f>
        <v>50100</v>
      </c>
      <c r="D237" s="32">
        <f>IF(PaymentSchedule4[[#This Row],[PMT NO]]&lt;&gt;"",IF(ROW()-ROW(PaymentSchedule4[[#Headers],[BEGINNING BALANCE]])=1,LoanAmount,INDEX(PaymentSchedule4[ENDING BALANCE],ROW()-ROW(PaymentSchedule4[[#Headers],[BEGINNING BALANCE]])-1)),"")</f>
        <v>82213.335160925984</v>
      </c>
      <c r="E237" s="32">
        <f>IF(PaymentSchedule4[[#This Row],[PMT NO]]&lt;&gt;"",ScheduledPayment,"")</f>
        <v>760.02796473882097</v>
      </c>
      <c r="F23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3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37" s="32">
        <f>IF(PaymentSchedule4[[#This Row],[PMT NO]]&lt;&gt;"",PaymentSchedule4[[#This Row],[TOTAL PAYMENT]]-PaymentSchedule4[[#This Row],[INTEREST]],"")</f>
        <v>451.72795788534853</v>
      </c>
      <c r="I237" s="32">
        <f>IF(PaymentSchedule4[[#This Row],[PMT NO]]&lt;&gt;"",PaymentSchedule4[[#This Row],[BEGINNING BALANCE]]*(InterestRate/PaymentsPerYear),"")</f>
        <v>308.30000685347244</v>
      </c>
      <c r="J23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81761.607203040636</v>
      </c>
      <c r="K237" s="32">
        <f>IF(PaymentSchedule4[[#This Row],[PMT NO]]&lt;&gt;"",SUM(INDEX(PaymentSchedule4[INTEREST],1,1):PaymentSchedule4[[#This Row],[INTEREST]]),"")</f>
        <v>100487.81537505882</v>
      </c>
    </row>
    <row r="238" spans="2:11" x14ac:dyDescent="0.3">
      <c r="B238" s="30">
        <f>IF(LoanIsGood,IF(ROW()-ROW(PaymentSchedule4[[#Headers],[PMT NO]])&gt;ScheduledNumberOfPayments,"",ROW()-ROW(PaymentSchedule4[[#Headers],[PMT NO]])),"")</f>
        <v>223</v>
      </c>
      <c r="C238" s="31">
        <f>IF(PaymentSchedule4[[#This Row],[PMT NO]]&lt;&gt;"",EOMONTH(LoanStartDate,ROW(PaymentSchedule4[[#This Row],[PMT NO]])-ROW(PaymentSchedule4[[#Headers],[PMT NO]])-2)+DAY(LoanStartDate),"")</f>
        <v>50131</v>
      </c>
      <c r="D238" s="32">
        <f>IF(PaymentSchedule4[[#This Row],[PMT NO]]&lt;&gt;"",IF(ROW()-ROW(PaymentSchedule4[[#Headers],[BEGINNING BALANCE]])=1,LoanAmount,INDEX(PaymentSchedule4[ENDING BALANCE],ROW()-ROW(PaymentSchedule4[[#Headers],[BEGINNING BALANCE]])-1)),"")</f>
        <v>81761.607203040636</v>
      </c>
      <c r="E238" s="32">
        <f>IF(PaymentSchedule4[[#This Row],[PMT NO]]&lt;&gt;"",ScheduledPayment,"")</f>
        <v>760.02796473882097</v>
      </c>
      <c r="F23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3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38" s="32">
        <f>IF(PaymentSchedule4[[#This Row],[PMT NO]]&lt;&gt;"",PaymentSchedule4[[#This Row],[TOTAL PAYMENT]]-PaymentSchedule4[[#This Row],[INTEREST]],"")</f>
        <v>453.42193772741859</v>
      </c>
      <c r="I238" s="32">
        <f>IF(PaymentSchedule4[[#This Row],[PMT NO]]&lt;&gt;"",PaymentSchedule4[[#This Row],[BEGINNING BALANCE]]*(InterestRate/PaymentsPerYear),"")</f>
        <v>306.60602701140238</v>
      </c>
      <c r="J23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81308.185265313223</v>
      </c>
      <c r="K238" s="32">
        <f>IF(PaymentSchedule4[[#This Row],[PMT NO]]&lt;&gt;"",SUM(INDEX(PaymentSchedule4[INTEREST],1,1):PaymentSchedule4[[#This Row],[INTEREST]]),"")</f>
        <v>100794.42140207022</v>
      </c>
    </row>
    <row r="239" spans="2:11" x14ac:dyDescent="0.3">
      <c r="B239" s="30">
        <f>IF(LoanIsGood,IF(ROW()-ROW(PaymentSchedule4[[#Headers],[PMT NO]])&gt;ScheduledNumberOfPayments,"",ROW()-ROW(PaymentSchedule4[[#Headers],[PMT NO]])),"")</f>
        <v>224</v>
      </c>
      <c r="C239" s="31">
        <f>IF(PaymentSchedule4[[#This Row],[PMT NO]]&lt;&gt;"",EOMONTH(LoanStartDate,ROW(PaymentSchedule4[[#This Row],[PMT NO]])-ROW(PaymentSchedule4[[#Headers],[PMT NO]])-2)+DAY(LoanStartDate),"")</f>
        <v>50161</v>
      </c>
      <c r="D239" s="32">
        <f>IF(PaymentSchedule4[[#This Row],[PMT NO]]&lt;&gt;"",IF(ROW()-ROW(PaymentSchedule4[[#Headers],[BEGINNING BALANCE]])=1,LoanAmount,INDEX(PaymentSchedule4[ENDING BALANCE],ROW()-ROW(PaymentSchedule4[[#Headers],[BEGINNING BALANCE]])-1)),"")</f>
        <v>81308.185265313223</v>
      </c>
      <c r="E239" s="32">
        <f>IF(PaymentSchedule4[[#This Row],[PMT NO]]&lt;&gt;"",ScheduledPayment,"")</f>
        <v>760.02796473882097</v>
      </c>
      <c r="F23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3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39" s="32">
        <f>IF(PaymentSchedule4[[#This Row],[PMT NO]]&lt;&gt;"",PaymentSchedule4[[#This Row],[TOTAL PAYMENT]]-PaymentSchedule4[[#This Row],[INTEREST]],"")</f>
        <v>455.1222699938964</v>
      </c>
      <c r="I239" s="32">
        <f>IF(PaymentSchedule4[[#This Row],[PMT NO]]&lt;&gt;"",PaymentSchedule4[[#This Row],[BEGINNING BALANCE]]*(InterestRate/PaymentsPerYear),"")</f>
        <v>304.90569474492457</v>
      </c>
      <c r="J23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80853.062995319327</v>
      </c>
      <c r="K239" s="32">
        <f>IF(PaymentSchedule4[[#This Row],[PMT NO]]&lt;&gt;"",SUM(INDEX(PaymentSchedule4[INTEREST],1,1):PaymentSchedule4[[#This Row],[INTEREST]]),"")</f>
        <v>101099.32709681515</v>
      </c>
    </row>
    <row r="240" spans="2:11" x14ac:dyDescent="0.3">
      <c r="B240" s="30">
        <f>IF(LoanIsGood,IF(ROW()-ROW(PaymentSchedule4[[#Headers],[PMT NO]])&gt;ScheduledNumberOfPayments,"",ROW()-ROW(PaymentSchedule4[[#Headers],[PMT NO]])),"")</f>
        <v>225</v>
      </c>
      <c r="C240" s="31">
        <f>IF(PaymentSchedule4[[#This Row],[PMT NO]]&lt;&gt;"",EOMONTH(LoanStartDate,ROW(PaymentSchedule4[[#This Row],[PMT NO]])-ROW(PaymentSchedule4[[#Headers],[PMT NO]])-2)+DAY(LoanStartDate),"")</f>
        <v>50192</v>
      </c>
      <c r="D240" s="32">
        <f>IF(PaymentSchedule4[[#This Row],[PMT NO]]&lt;&gt;"",IF(ROW()-ROW(PaymentSchedule4[[#Headers],[BEGINNING BALANCE]])=1,LoanAmount,INDEX(PaymentSchedule4[ENDING BALANCE],ROW()-ROW(PaymentSchedule4[[#Headers],[BEGINNING BALANCE]])-1)),"")</f>
        <v>80853.062995319327</v>
      </c>
      <c r="E240" s="32">
        <f>IF(PaymentSchedule4[[#This Row],[PMT NO]]&lt;&gt;"",ScheduledPayment,"")</f>
        <v>760.02796473882097</v>
      </c>
      <c r="F24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4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40" s="32">
        <f>IF(PaymentSchedule4[[#This Row],[PMT NO]]&lt;&gt;"",PaymentSchedule4[[#This Row],[TOTAL PAYMENT]]-PaymentSchedule4[[#This Row],[INTEREST]],"")</f>
        <v>456.82897850637352</v>
      </c>
      <c r="I240" s="32">
        <f>IF(PaymentSchedule4[[#This Row],[PMT NO]]&lt;&gt;"",PaymentSchedule4[[#This Row],[BEGINNING BALANCE]]*(InterestRate/PaymentsPerYear),"")</f>
        <v>303.19898623244745</v>
      </c>
      <c r="J24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80396.234016812959</v>
      </c>
      <c r="K240" s="32">
        <f>IF(PaymentSchedule4[[#This Row],[PMT NO]]&lt;&gt;"",SUM(INDEX(PaymentSchedule4[INTEREST],1,1):PaymentSchedule4[[#This Row],[INTEREST]]),"")</f>
        <v>101402.52608304759</v>
      </c>
    </row>
    <row r="241" spans="2:11" x14ac:dyDescent="0.3">
      <c r="B241" s="30">
        <f>IF(LoanIsGood,IF(ROW()-ROW(PaymentSchedule4[[#Headers],[PMT NO]])&gt;ScheduledNumberOfPayments,"",ROW()-ROW(PaymentSchedule4[[#Headers],[PMT NO]])),"")</f>
        <v>226</v>
      </c>
      <c r="C241" s="31">
        <f>IF(PaymentSchedule4[[#This Row],[PMT NO]]&lt;&gt;"",EOMONTH(LoanStartDate,ROW(PaymentSchedule4[[#This Row],[PMT NO]])-ROW(PaymentSchedule4[[#Headers],[PMT NO]])-2)+DAY(LoanStartDate),"")</f>
        <v>50222</v>
      </c>
      <c r="D241" s="32">
        <f>IF(PaymentSchedule4[[#This Row],[PMT NO]]&lt;&gt;"",IF(ROW()-ROW(PaymentSchedule4[[#Headers],[BEGINNING BALANCE]])=1,LoanAmount,INDEX(PaymentSchedule4[ENDING BALANCE],ROW()-ROW(PaymentSchedule4[[#Headers],[BEGINNING BALANCE]])-1)),"")</f>
        <v>80396.234016812959</v>
      </c>
      <c r="E241" s="32">
        <f>IF(PaymentSchedule4[[#This Row],[PMT NO]]&lt;&gt;"",ScheduledPayment,"")</f>
        <v>760.02796473882097</v>
      </c>
      <c r="F24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4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41" s="32">
        <f>IF(PaymentSchedule4[[#This Row],[PMT NO]]&lt;&gt;"",PaymentSchedule4[[#This Row],[TOTAL PAYMENT]]-PaymentSchedule4[[#This Row],[INTEREST]],"")</f>
        <v>458.54208717577239</v>
      </c>
      <c r="I241" s="32">
        <f>IF(PaymentSchedule4[[#This Row],[PMT NO]]&lt;&gt;"",PaymentSchedule4[[#This Row],[BEGINNING BALANCE]]*(InterestRate/PaymentsPerYear),"")</f>
        <v>301.48587756304858</v>
      </c>
      <c r="J24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79937.691929637193</v>
      </c>
      <c r="K241" s="32">
        <f>IF(PaymentSchedule4[[#This Row],[PMT NO]]&lt;&gt;"",SUM(INDEX(PaymentSchedule4[INTEREST],1,1):PaymentSchedule4[[#This Row],[INTEREST]]),"")</f>
        <v>101704.01196061063</v>
      </c>
    </row>
    <row r="242" spans="2:11" x14ac:dyDescent="0.3">
      <c r="B242" s="30">
        <f>IF(LoanIsGood,IF(ROW()-ROW(PaymentSchedule4[[#Headers],[PMT NO]])&gt;ScheduledNumberOfPayments,"",ROW()-ROW(PaymentSchedule4[[#Headers],[PMT NO]])),"")</f>
        <v>227</v>
      </c>
      <c r="C242" s="31">
        <f>IF(PaymentSchedule4[[#This Row],[PMT NO]]&lt;&gt;"",EOMONTH(LoanStartDate,ROW(PaymentSchedule4[[#This Row],[PMT NO]])-ROW(PaymentSchedule4[[#Headers],[PMT NO]])-2)+DAY(LoanStartDate),"")</f>
        <v>50253</v>
      </c>
      <c r="D242" s="32">
        <f>IF(PaymentSchedule4[[#This Row],[PMT NO]]&lt;&gt;"",IF(ROW()-ROW(PaymentSchedule4[[#Headers],[BEGINNING BALANCE]])=1,LoanAmount,INDEX(PaymentSchedule4[ENDING BALANCE],ROW()-ROW(PaymentSchedule4[[#Headers],[BEGINNING BALANCE]])-1)),"")</f>
        <v>79937.691929637193</v>
      </c>
      <c r="E242" s="32">
        <f>IF(PaymentSchedule4[[#This Row],[PMT NO]]&lt;&gt;"",ScheduledPayment,"")</f>
        <v>760.02796473882097</v>
      </c>
      <c r="F24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4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42" s="32">
        <f>IF(PaymentSchedule4[[#This Row],[PMT NO]]&lt;&gt;"",PaymentSchedule4[[#This Row],[TOTAL PAYMENT]]-PaymentSchedule4[[#This Row],[INTEREST]],"")</f>
        <v>460.26162000268152</v>
      </c>
      <c r="I242" s="32">
        <f>IF(PaymentSchedule4[[#This Row],[PMT NO]]&lt;&gt;"",PaymentSchedule4[[#This Row],[BEGINNING BALANCE]]*(InterestRate/PaymentsPerYear),"")</f>
        <v>299.76634473613944</v>
      </c>
      <c r="J24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79477.43030963451</v>
      </c>
      <c r="K242" s="32">
        <f>IF(PaymentSchedule4[[#This Row],[PMT NO]]&lt;&gt;"",SUM(INDEX(PaymentSchedule4[INTEREST],1,1):PaymentSchedule4[[#This Row],[INTEREST]]),"")</f>
        <v>102003.77830534677</v>
      </c>
    </row>
    <row r="243" spans="2:11" x14ac:dyDescent="0.3">
      <c r="B243" s="30">
        <f>IF(LoanIsGood,IF(ROW()-ROW(PaymentSchedule4[[#Headers],[PMT NO]])&gt;ScheduledNumberOfPayments,"",ROW()-ROW(PaymentSchedule4[[#Headers],[PMT NO]])),"")</f>
        <v>228</v>
      </c>
      <c r="C243" s="31">
        <f>IF(PaymentSchedule4[[#This Row],[PMT NO]]&lt;&gt;"",EOMONTH(LoanStartDate,ROW(PaymentSchedule4[[#This Row],[PMT NO]])-ROW(PaymentSchedule4[[#Headers],[PMT NO]])-2)+DAY(LoanStartDate),"")</f>
        <v>50284</v>
      </c>
      <c r="D243" s="32">
        <f>IF(PaymentSchedule4[[#This Row],[PMT NO]]&lt;&gt;"",IF(ROW()-ROW(PaymentSchedule4[[#Headers],[BEGINNING BALANCE]])=1,LoanAmount,INDEX(PaymentSchedule4[ENDING BALANCE],ROW()-ROW(PaymentSchedule4[[#Headers],[BEGINNING BALANCE]])-1)),"")</f>
        <v>79477.43030963451</v>
      </c>
      <c r="E243" s="32">
        <f>IF(PaymentSchedule4[[#This Row],[PMT NO]]&lt;&gt;"",ScheduledPayment,"")</f>
        <v>760.02796473882097</v>
      </c>
      <c r="F24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4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43" s="32">
        <f>IF(PaymentSchedule4[[#This Row],[PMT NO]]&lt;&gt;"",PaymentSchedule4[[#This Row],[TOTAL PAYMENT]]-PaymentSchedule4[[#This Row],[INTEREST]],"")</f>
        <v>461.98760107769158</v>
      </c>
      <c r="I243" s="32">
        <f>IF(PaymentSchedule4[[#This Row],[PMT NO]]&lt;&gt;"",PaymentSchedule4[[#This Row],[BEGINNING BALANCE]]*(InterestRate/PaymentsPerYear),"")</f>
        <v>298.04036366112939</v>
      </c>
      <c r="J24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79015.442708556817</v>
      </c>
      <c r="K243" s="32">
        <f>IF(PaymentSchedule4[[#This Row],[PMT NO]]&lt;&gt;"",SUM(INDEX(PaymentSchedule4[INTEREST],1,1):PaymentSchedule4[[#This Row],[INTEREST]]),"")</f>
        <v>102301.8186690079</v>
      </c>
    </row>
    <row r="244" spans="2:11" x14ac:dyDescent="0.3">
      <c r="B244" s="30">
        <f>IF(LoanIsGood,IF(ROW()-ROW(PaymentSchedule4[[#Headers],[PMT NO]])&gt;ScheduledNumberOfPayments,"",ROW()-ROW(PaymentSchedule4[[#Headers],[PMT NO]])),"")</f>
        <v>229</v>
      </c>
      <c r="C244" s="31">
        <f>IF(PaymentSchedule4[[#This Row],[PMT NO]]&lt;&gt;"",EOMONTH(LoanStartDate,ROW(PaymentSchedule4[[#This Row],[PMT NO]])-ROW(PaymentSchedule4[[#Headers],[PMT NO]])-2)+DAY(LoanStartDate),"")</f>
        <v>50314</v>
      </c>
      <c r="D244" s="32">
        <f>IF(PaymentSchedule4[[#This Row],[PMT NO]]&lt;&gt;"",IF(ROW()-ROW(PaymentSchedule4[[#Headers],[BEGINNING BALANCE]])=1,LoanAmount,INDEX(PaymentSchedule4[ENDING BALANCE],ROW()-ROW(PaymentSchedule4[[#Headers],[BEGINNING BALANCE]])-1)),"")</f>
        <v>79015.442708556817</v>
      </c>
      <c r="E244" s="32">
        <f>IF(PaymentSchedule4[[#This Row],[PMT NO]]&lt;&gt;"",ScheduledPayment,"")</f>
        <v>760.02796473882097</v>
      </c>
      <c r="F24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4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44" s="32">
        <f>IF(PaymentSchedule4[[#This Row],[PMT NO]]&lt;&gt;"",PaymentSchedule4[[#This Row],[TOTAL PAYMENT]]-PaymentSchedule4[[#This Row],[INTEREST]],"")</f>
        <v>463.72005458173294</v>
      </c>
      <c r="I244" s="32">
        <f>IF(PaymentSchedule4[[#This Row],[PMT NO]]&lt;&gt;"",PaymentSchedule4[[#This Row],[BEGINNING BALANCE]]*(InterestRate/PaymentsPerYear),"")</f>
        <v>296.30791015708803</v>
      </c>
      <c r="J24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78551.722653975085</v>
      </c>
      <c r="K244" s="32">
        <f>IF(PaymentSchedule4[[#This Row],[PMT NO]]&lt;&gt;"",SUM(INDEX(PaymentSchedule4[INTEREST],1,1):PaymentSchedule4[[#This Row],[INTEREST]]),"")</f>
        <v>102598.12657916499</v>
      </c>
    </row>
    <row r="245" spans="2:11" x14ac:dyDescent="0.3">
      <c r="B245" s="30">
        <f>IF(LoanIsGood,IF(ROW()-ROW(PaymentSchedule4[[#Headers],[PMT NO]])&gt;ScheduledNumberOfPayments,"",ROW()-ROW(PaymentSchedule4[[#Headers],[PMT NO]])),"")</f>
        <v>230</v>
      </c>
      <c r="C245" s="31">
        <f>IF(PaymentSchedule4[[#This Row],[PMT NO]]&lt;&gt;"",EOMONTH(LoanStartDate,ROW(PaymentSchedule4[[#This Row],[PMT NO]])-ROW(PaymentSchedule4[[#Headers],[PMT NO]])-2)+DAY(LoanStartDate),"")</f>
        <v>50345</v>
      </c>
      <c r="D245" s="32">
        <f>IF(PaymentSchedule4[[#This Row],[PMT NO]]&lt;&gt;"",IF(ROW()-ROW(PaymentSchedule4[[#Headers],[BEGINNING BALANCE]])=1,LoanAmount,INDEX(PaymentSchedule4[ENDING BALANCE],ROW()-ROW(PaymentSchedule4[[#Headers],[BEGINNING BALANCE]])-1)),"")</f>
        <v>78551.722653975085</v>
      </c>
      <c r="E245" s="32">
        <f>IF(PaymentSchedule4[[#This Row],[PMT NO]]&lt;&gt;"",ScheduledPayment,"")</f>
        <v>760.02796473882097</v>
      </c>
      <c r="F24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4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45" s="32">
        <f>IF(PaymentSchedule4[[#This Row],[PMT NO]]&lt;&gt;"",PaymentSchedule4[[#This Row],[TOTAL PAYMENT]]-PaymentSchedule4[[#This Row],[INTEREST]],"")</f>
        <v>465.45900478641443</v>
      </c>
      <c r="I245" s="32">
        <f>IF(PaymentSchedule4[[#This Row],[PMT NO]]&lt;&gt;"",PaymentSchedule4[[#This Row],[BEGINNING BALANCE]]*(InterestRate/PaymentsPerYear),"")</f>
        <v>294.56895995240654</v>
      </c>
      <c r="J24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78086.263649188666</v>
      </c>
      <c r="K245" s="32">
        <f>IF(PaymentSchedule4[[#This Row],[PMT NO]]&lt;&gt;"",SUM(INDEX(PaymentSchedule4[INTEREST],1,1):PaymentSchedule4[[#This Row],[INTEREST]]),"")</f>
        <v>102892.6955391174</v>
      </c>
    </row>
    <row r="246" spans="2:11" x14ac:dyDescent="0.3">
      <c r="B246" s="30">
        <f>IF(LoanIsGood,IF(ROW()-ROW(PaymentSchedule4[[#Headers],[PMT NO]])&gt;ScheduledNumberOfPayments,"",ROW()-ROW(PaymentSchedule4[[#Headers],[PMT NO]])),"")</f>
        <v>231</v>
      </c>
      <c r="C246" s="31">
        <f>IF(PaymentSchedule4[[#This Row],[PMT NO]]&lt;&gt;"",EOMONTH(LoanStartDate,ROW(PaymentSchedule4[[#This Row],[PMT NO]])-ROW(PaymentSchedule4[[#Headers],[PMT NO]])-2)+DAY(LoanStartDate),"")</f>
        <v>50375</v>
      </c>
      <c r="D246" s="32">
        <f>IF(PaymentSchedule4[[#This Row],[PMT NO]]&lt;&gt;"",IF(ROW()-ROW(PaymentSchedule4[[#Headers],[BEGINNING BALANCE]])=1,LoanAmount,INDEX(PaymentSchedule4[ENDING BALANCE],ROW()-ROW(PaymentSchedule4[[#Headers],[BEGINNING BALANCE]])-1)),"")</f>
        <v>78086.263649188666</v>
      </c>
      <c r="E246" s="32">
        <f>IF(PaymentSchedule4[[#This Row],[PMT NO]]&lt;&gt;"",ScheduledPayment,"")</f>
        <v>760.02796473882097</v>
      </c>
      <c r="F24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4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46" s="32">
        <f>IF(PaymentSchedule4[[#This Row],[PMT NO]]&lt;&gt;"",PaymentSchedule4[[#This Row],[TOTAL PAYMENT]]-PaymentSchedule4[[#This Row],[INTEREST]],"")</f>
        <v>467.20447605436351</v>
      </c>
      <c r="I246" s="32">
        <f>IF(PaymentSchedule4[[#This Row],[PMT NO]]&lt;&gt;"",PaymentSchedule4[[#This Row],[BEGINNING BALANCE]]*(InterestRate/PaymentsPerYear),"")</f>
        <v>292.82348868445746</v>
      </c>
      <c r="J24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77619.059173134301</v>
      </c>
      <c r="K246" s="32">
        <f>IF(PaymentSchedule4[[#This Row],[PMT NO]]&lt;&gt;"",SUM(INDEX(PaymentSchedule4[INTEREST],1,1):PaymentSchedule4[[#This Row],[INTEREST]]),"")</f>
        <v>103185.51902780186</v>
      </c>
    </row>
    <row r="247" spans="2:11" x14ac:dyDescent="0.3">
      <c r="B247" s="30">
        <f>IF(LoanIsGood,IF(ROW()-ROW(PaymentSchedule4[[#Headers],[PMT NO]])&gt;ScheduledNumberOfPayments,"",ROW()-ROW(PaymentSchedule4[[#Headers],[PMT NO]])),"")</f>
        <v>232</v>
      </c>
      <c r="C247" s="31">
        <f>IF(PaymentSchedule4[[#This Row],[PMT NO]]&lt;&gt;"",EOMONTH(LoanStartDate,ROW(PaymentSchedule4[[#This Row],[PMT NO]])-ROW(PaymentSchedule4[[#Headers],[PMT NO]])-2)+DAY(LoanStartDate),"")</f>
        <v>50406</v>
      </c>
      <c r="D247" s="32">
        <f>IF(PaymentSchedule4[[#This Row],[PMT NO]]&lt;&gt;"",IF(ROW()-ROW(PaymentSchedule4[[#Headers],[BEGINNING BALANCE]])=1,LoanAmount,INDEX(PaymentSchedule4[ENDING BALANCE],ROW()-ROW(PaymentSchedule4[[#Headers],[BEGINNING BALANCE]])-1)),"")</f>
        <v>77619.059173134301</v>
      </c>
      <c r="E247" s="32">
        <f>IF(PaymentSchedule4[[#This Row],[PMT NO]]&lt;&gt;"",ScheduledPayment,"")</f>
        <v>760.02796473882097</v>
      </c>
      <c r="F24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4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47" s="32">
        <f>IF(PaymentSchedule4[[#This Row],[PMT NO]]&lt;&gt;"",PaymentSchedule4[[#This Row],[TOTAL PAYMENT]]-PaymentSchedule4[[#This Row],[INTEREST]],"")</f>
        <v>468.95649283956737</v>
      </c>
      <c r="I247" s="32">
        <f>IF(PaymentSchedule4[[#This Row],[PMT NO]]&lt;&gt;"",PaymentSchedule4[[#This Row],[BEGINNING BALANCE]]*(InterestRate/PaymentsPerYear),"")</f>
        <v>291.07147189925359</v>
      </c>
      <c r="J24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77150.102680294731</v>
      </c>
      <c r="K247" s="32">
        <f>IF(PaymentSchedule4[[#This Row],[PMT NO]]&lt;&gt;"",SUM(INDEX(PaymentSchedule4[INTEREST],1,1):PaymentSchedule4[[#This Row],[INTEREST]]),"")</f>
        <v>103476.59049970111</v>
      </c>
    </row>
    <row r="248" spans="2:11" x14ac:dyDescent="0.3">
      <c r="B248" s="30">
        <f>IF(LoanIsGood,IF(ROW()-ROW(PaymentSchedule4[[#Headers],[PMT NO]])&gt;ScheduledNumberOfPayments,"",ROW()-ROW(PaymentSchedule4[[#Headers],[PMT NO]])),"")</f>
        <v>233</v>
      </c>
      <c r="C248" s="31">
        <f>IF(PaymentSchedule4[[#This Row],[PMT NO]]&lt;&gt;"",EOMONTH(LoanStartDate,ROW(PaymentSchedule4[[#This Row],[PMT NO]])-ROW(PaymentSchedule4[[#Headers],[PMT NO]])-2)+DAY(LoanStartDate),"")</f>
        <v>50437</v>
      </c>
      <c r="D248" s="32">
        <f>IF(PaymentSchedule4[[#This Row],[PMT NO]]&lt;&gt;"",IF(ROW()-ROW(PaymentSchedule4[[#Headers],[BEGINNING BALANCE]])=1,LoanAmount,INDEX(PaymentSchedule4[ENDING BALANCE],ROW()-ROW(PaymentSchedule4[[#Headers],[BEGINNING BALANCE]])-1)),"")</f>
        <v>77150.102680294731</v>
      </c>
      <c r="E248" s="32">
        <f>IF(PaymentSchedule4[[#This Row],[PMT NO]]&lt;&gt;"",ScheduledPayment,"")</f>
        <v>760.02796473882097</v>
      </c>
      <c r="F24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4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48" s="32">
        <f>IF(PaymentSchedule4[[#This Row],[PMT NO]]&lt;&gt;"",PaymentSchedule4[[#This Row],[TOTAL PAYMENT]]-PaymentSchedule4[[#This Row],[INTEREST]],"")</f>
        <v>470.71507968771573</v>
      </c>
      <c r="I248" s="32">
        <f>IF(PaymentSchedule4[[#This Row],[PMT NO]]&lt;&gt;"",PaymentSchedule4[[#This Row],[BEGINNING BALANCE]]*(InterestRate/PaymentsPerYear),"")</f>
        <v>289.31288505110524</v>
      </c>
      <c r="J24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76679.38760060702</v>
      </c>
      <c r="K248" s="32">
        <f>IF(PaymentSchedule4[[#This Row],[PMT NO]]&lt;&gt;"",SUM(INDEX(PaymentSchedule4[INTEREST],1,1):PaymentSchedule4[[#This Row],[INTEREST]]),"")</f>
        <v>103765.90338475221</v>
      </c>
    </row>
    <row r="249" spans="2:11" x14ac:dyDescent="0.3">
      <c r="B249" s="30">
        <f>IF(LoanIsGood,IF(ROW()-ROW(PaymentSchedule4[[#Headers],[PMT NO]])&gt;ScheduledNumberOfPayments,"",ROW()-ROW(PaymentSchedule4[[#Headers],[PMT NO]])),"")</f>
        <v>234</v>
      </c>
      <c r="C249" s="31">
        <f>IF(PaymentSchedule4[[#This Row],[PMT NO]]&lt;&gt;"",EOMONTH(LoanStartDate,ROW(PaymentSchedule4[[#This Row],[PMT NO]])-ROW(PaymentSchedule4[[#Headers],[PMT NO]])-2)+DAY(LoanStartDate),"")</f>
        <v>50465</v>
      </c>
      <c r="D249" s="32">
        <f>IF(PaymentSchedule4[[#This Row],[PMT NO]]&lt;&gt;"",IF(ROW()-ROW(PaymentSchedule4[[#Headers],[BEGINNING BALANCE]])=1,LoanAmount,INDEX(PaymentSchedule4[ENDING BALANCE],ROW()-ROW(PaymentSchedule4[[#Headers],[BEGINNING BALANCE]])-1)),"")</f>
        <v>76679.38760060702</v>
      </c>
      <c r="E249" s="32">
        <f>IF(PaymentSchedule4[[#This Row],[PMT NO]]&lt;&gt;"",ScheduledPayment,"")</f>
        <v>760.02796473882097</v>
      </c>
      <c r="F24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4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49" s="32">
        <f>IF(PaymentSchedule4[[#This Row],[PMT NO]]&lt;&gt;"",PaymentSchedule4[[#This Row],[TOTAL PAYMENT]]-PaymentSchedule4[[#This Row],[INTEREST]],"")</f>
        <v>472.48026123654466</v>
      </c>
      <c r="I249" s="32">
        <f>IF(PaymentSchedule4[[#This Row],[PMT NO]]&lt;&gt;"",PaymentSchedule4[[#This Row],[BEGINNING BALANCE]]*(InterestRate/PaymentsPerYear),"")</f>
        <v>287.54770350227631</v>
      </c>
      <c r="J24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76206.907339370475</v>
      </c>
      <c r="K249" s="32">
        <f>IF(PaymentSchedule4[[#This Row],[PMT NO]]&lt;&gt;"",SUM(INDEX(PaymentSchedule4[INTEREST],1,1):PaymentSchedule4[[#This Row],[INTEREST]]),"")</f>
        <v>104053.45108825449</v>
      </c>
    </row>
    <row r="250" spans="2:11" x14ac:dyDescent="0.3">
      <c r="B250" s="30">
        <f>IF(LoanIsGood,IF(ROW()-ROW(PaymentSchedule4[[#Headers],[PMT NO]])&gt;ScheduledNumberOfPayments,"",ROW()-ROW(PaymentSchedule4[[#Headers],[PMT NO]])),"")</f>
        <v>235</v>
      </c>
      <c r="C250" s="31">
        <f>IF(PaymentSchedule4[[#This Row],[PMT NO]]&lt;&gt;"",EOMONTH(LoanStartDate,ROW(PaymentSchedule4[[#This Row],[PMT NO]])-ROW(PaymentSchedule4[[#Headers],[PMT NO]])-2)+DAY(LoanStartDate),"")</f>
        <v>50496</v>
      </c>
      <c r="D250" s="32">
        <f>IF(PaymentSchedule4[[#This Row],[PMT NO]]&lt;&gt;"",IF(ROW()-ROW(PaymentSchedule4[[#Headers],[BEGINNING BALANCE]])=1,LoanAmount,INDEX(PaymentSchedule4[ENDING BALANCE],ROW()-ROW(PaymentSchedule4[[#Headers],[BEGINNING BALANCE]])-1)),"")</f>
        <v>76206.907339370475</v>
      </c>
      <c r="E250" s="32">
        <f>IF(PaymentSchedule4[[#This Row],[PMT NO]]&lt;&gt;"",ScheduledPayment,"")</f>
        <v>760.02796473882097</v>
      </c>
      <c r="F25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5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50" s="32">
        <f>IF(PaymentSchedule4[[#This Row],[PMT NO]]&lt;&gt;"",PaymentSchedule4[[#This Row],[TOTAL PAYMENT]]-PaymentSchedule4[[#This Row],[INTEREST]],"")</f>
        <v>474.25206221618168</v>
      </c>
      <c r="I250" s="32">
        <f>IF(PaymentSchedule4[[#This Row],[PMT NO]]&lt;&gt;"",PaymentSchedule4[[#This Row],[BEGINNING BALANCE]]*(InterestRate/PaymentsPerYear),"")</f>
        <v>285.77590252263929</v>
      </c>
      <c r="J25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75732.655277154292</v>
      </c>
      <c r="K250" s="32">
        <f>IF(PaymentSchedule4[[#This Row],[PMT NO]]&lt;&gt;"",SUM(INDEX(PaymentSchedule4[INTEREST],1,1):PaymentSchedule4[[#This Row],[INTEREST]]),"")</f>
        <v>104339.22699077713</v>
      </c>
    </row>
    <row r="251" spans="2:11" x14ac:dyDescent="0.3">
      <c r="B251" s="30">
        <f>IF(LoanIsGood,IF(ROW()-ROW(PaymentSchedule4[[#Headers],[PMT NO]])&gt;ScheduledNumberOfPayments,"",ROW()-ROW(PaymentSchedule4[[#Headers],[PMT NO]])),"")</f>
        <v>236</v>
      </c>
      <c r="C251" s="31">
        <f>IF(PaymentSchedule4[[#This Row],[PMT NO]]&lt;&gt;"",EOMONTH(LoanStartDate,ROW(PaymentSchedule4[[#This Row],[PMT NO]])-ROW(PaymentSchedule4[[#Headers],[PMT NO]])-2)+DAY(LoanStartDate),"")</f>
        <v>50526</v>
      </c>
      <c r="D251" s="32">
        <f>IF(PaymentSchedule4[[#This Row],[PMT NO]]&lt;&gt;"",IF(ROW()-ROW(PaymentSchedule4[[#Headers],[BEGINNING BALANCE]])=1,LoanAmount,INDEX(PaymentSchedule4[ENDING BALANCE],ROW()-ROW(PaymentSchedule4[[#Headers],[BEGINNING BALANCE]])-1)),"")</f>
        <v>75732.655277154292</v>
      </c>
      <c r="E251" s="32">
        <f>IF(PaymentSchedule4[[#This Row],[PMT NO]]&lt;&gt;"",ScheduledPayment,"")</f>
        <v>760.02796473882097</v>
      </c>
      <c r="F25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5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51" s="32">
        <f>IF(PaymentSchedule4[[#This Row],[PMT NO]]&lt;&gt;"",PaymentSchedule4[[#This Row],[TOTAL PAYMENT]]-PaymentSchedule4[[#This Row],[INTEREST]],"")</f>
        <v>476.0305074494924</v>
      </c>
      <c r="I251" s="32">
        <f>IF(PaymentSchedule4[[#This Row],[PMT NO]]&lt;&gt;"",PaymentSchedule4[[#This Row],[BEGINNING BALANCE]]*(InterestRate/PaymentsPerYear),"")</f>
        <v>283.99745728932857</v>
      </c>
      <c r="J25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75256.624769704795</v>
      </c>
      <c r="K251" s="32">
        <f>IF(PaymentSchedule4[[#This Row],[PMT NO]]&lt;&gt;"",SUM(INDEX(PaymentSchedule4[INTEREST],1,1):PaymentSchedule4[[#This Row],[INTEREST]]),"")</f>
        <v>104623.22444806645</v>
      </c>
    </row>
    <row r="252" spans="2:11" x14ac:dyDescent="0.3">
      <c r="B252" s="30">
        <f>IF(LoanIsGood,IF(ROW()-ROW(PaymentSchedule4[[#Headers],[PMT NO]])&gt;ScheduledNumberOfPayments,"",ROW()-ROW(PaymentSchedule4[[#Headers],[PMT NO]])),"")</f>
        <v>237</v>
      </c>
      <c r="C252" s="31">
        <f>IF(PaymentSchedule4[[#This Row],[PMT NO]]&lt;&gt;"",EOMONTH(LoanStartDate,ROW(PaymentSchedule4[[#This Row],[PMT NO]])-ROW(PaymentSchedule4[[#Headers],[PMT NO]])-2)+DAY(LoanStartDate),"")</f>
        <v>50557</v>
      </c>
      <c r="D252" s="32">
        <f>IF(PaymentSchedule4[[#This Row],[PMT NO]]&lt;&gt;"",IF(ROW()-ROW(PaymentSchedule4[[#Headers],[BEGINNING BALANCE]])=1,LoanAmount,INDEX(PaymentSchedule4[ENDING BALANCE],ROW()-ROW(PaymentSchedule4[[#Headers],[BEGINNING BALANCE]])-1)),"")</f>
        <v>75256.624769704795</v>
      </c>
      <c r="E252" s="32">
        <f>IF(PaymentSchedule4[[#This Row],[PMT NO]]&lt;&gt;"",ScheduledPayment,"")</f>
        <v>760.02796473882097</v>
      </c>
      <c r="F25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5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52" s="32">
        <f>IF(PaymentSchedule4[[#This Row],[PMT NO]]&lt;&gt;"",PaymentSchedule4[[#This Row],[TOTAL PAYMENT]]-PaymentSchedule4[[#This Row],[INTEREST]],"")</f>
        <v>477.81562185242802</v>
      </c>
      <c r="I252" s="32">
        <f>IF(PaymentSchedule4[[#This Row],[PMT NO]]&lt;&gt;"",PaymentSchedule4[[#This Row],[BEGINNING BALANCE]]*(InterestRate/PaymentsPerYear),"")</f>
        <v>282.21234288639295</v>
      </c>
      <c r="J25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74778.809147852371</v>
      </c>
      <c r="K252" s="32">
        <f>IF(PaymentSchedule4[[#This Row],[PMT NO]]&lt;&gt;"",SUM(INDEX(PaymentSchedule4[INTEREST],1,1):PaymentSchedule4[[#This Row],[INTEREST]]),"")</f>
        <v>104905.43679095285</v>
      </c>
    </row>
    <row r="253" spans="2:11" x14ac:dyDescent="0.3">
      <c r="B253" s="30">
        <f>IF(LoanIsGood,IF(ROW()-ROW(PaymentSchedule4[[#Headers],[PMT NO]])&gt;ScheduledNumberOfPayments,"",ROW()-ROW(PaymentSchedule4[[#Headers],[PMT NO]])),"")</f>
        <v>238</v>
      </c>
      <c r="C253" s="31">
        <f>IF(PaymentSchedule4[[#This Row],[PMT NO]]&lt;&gt;"",EOMONTH(LoanStartDate,ROW(PaymentSchedule4[[#This Row],[PMT NO]])-ROW(PaymentSchedule4[[#Headers],[PMT NO]])-2)+DAY(LoanStartDate),"")</f>
        <v>50587</v>
      </c>
      <c r="D253" s="32">
        <f>IF(PaymentSchedule4[[#This Row],[PMT NO]]&lt;&gt;"",IF(ROW()-ROW(PaymentSchedule4[[#Headers],[BEGINNING BALANCE]])=1,LoanAmount,INDEX(PaymentSchedule4[ENDING BALANCE],ROW()-ROW(PaymentSchedule4[[#Headers],[BEGINNING BALANCE]])-1)),"")</f>
        <v>74778.809147852371</v>
      </c>
      <c r="E253" s="32">
        <f>IF(PaymentSchedule4[[#This Row],[PMT NO]]&lt;&gt;"",ScheduledPayment,"")</f>
        <v>760.02796473882097</v>
      </c>
      <c r="F25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5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53" s="32">
        <f>IF(PaymentSchedule4[[#This Row],[PMT NO]]&lt;&gt;"",PaymentSchedule4[[#This Row],[TOTAL PAYMENT]]-PaymentSchedule4[[#This Row],[INTEREST]],"")</f>
        <v>479.60743043437458</v>
      </c>
      <c r="I253" s="32">
        <f>IF(PaymentSchedule4[[#This Row],[PMT NO]]&lt;&gt;"",PaymentSchedule4[[#This Row],[BEGINNING BALANCE]]*(InterestRate/PaymentsPerYear),"")</f>
        <v>280.42053430444639</v>
      </c>
      <c r="J25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74299.201717417993</v>
      </c>
      <c r="K253" s="32">
        <f>IF(PaymentSchedule4[[#This Row],[PMT NO]]&lt;&gt;"",SUM(INDEX(PaymentSchedule4[INTEREST],1,1):PaymentSchedule4[[#This Row],[INTEREST]]),"")</f>
        <v>105185.8573252573</v>
      </c>
    </row>
    <row r="254" spans="2:11" x14ac:dyDescent="0.3">
      <c r="B254" s="30">
        <f>IF(LoanIsGood,IF(ROW()-ROW(PaymentSchedule4[[#Headers],[PMT NO]])&gt;ScheduledNumberOfPayments,"",ROW()-ROW(PaymentSchedule4[[#Headers],[PMT NO]])),"")</f>
        <v>239</v>
      </c>
      <c r="C254" s="31">
        <f>IF(PaymentSchedule4[[#This Row],[PMT NO]]&lt;&gt;"",EOMONTH(LoanStartDate,ROW(PaymentSchedule4[[#This Row],[PMT NO]])-ROW(PaymentSchedule4[[#Headers],[PMT NO]])-2)+DAY(LoanStartDate),"")</f>
        <v>50618</v>
      </c>
      <c r="D254" s="32">
        <f>IF(PaymentSchedule4[[#This Row],[PMT NO]]&lt;&gt;"",IF(ROW()-ROW(PaymentSchedule4[[#Headers],[BEGINNING BALANCE]])=1,LoanAmount,INDEX(PaymentSchedule4[ENDING BALANCE],ROW()-ROW(PaymentSchedule4[[#Headers],[BEGINNING BALANCE]])-1)),"")</f>
        <v>74299.201717417993</v>
      </c>
      <c r="E254" s="32">
        <f>IF(PaymentSchedule4[[#This Row],[PMT NO]]&lt;&gt;"",ScheduledPayment,"")</f>
        <v>760.02796473882097</v>
      </c>
      <c r="F25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5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54" s="32">
        <f>IF(PaymentSchedule4[[#This Row],[PMT NO]]&lt;&gt;"",PaymentSchedule4[[#This Row],[TOTAL PAYMENT]]-PaymentSchedule4[[#This Row],[INTEREST]],"")</f>
        <v>481.40595829850349</v>
      </c>
      <c r="I254" s="32">
        <f>IF(PaymentSchedule4[[#This Row],[PMT NO]]&lt;&gt;"",PaymentSchedule4[[#This Row],[BEGINNING BALANCE]]*(InterestRate/PaymentsPerYear),"")</f>
        <v>278.62200644031748</v>
      </c>
      <c r="J25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73817.795759119486</v>
      </c>
      <c r="K254" s="32">
        <f>IF(PaymentSchedule4[[#This Row],[PMT NO]]&lt;&gt;"",SUM(INDEX(PaymentSchedule4[INTEREST],1,1):PaymentSchedule4[[#This Row],[INTEREST]]),"")</f>
        <v>105464.47933169761</v>
      </c>
    </row>
    <row r="255" spans="2:11" x14ac:dyDescent="0.3">
      <c r="B255" s="30">
        <f>IF(LoanIsGood,IF(ROW()-ROW(PaymentSchedule4[[#Headers],[PMT NO]])&gt;ScheduledNumberOfPayments,"",ROW()-ROW(PaymentSchedule4[[#Headers],[PMT NO]])),"")</f>
        <v>240</v>
      </c>
      <c r="C255" s="31">
        <f>IF(PaymentSchedule4[[#This Row],[PMT NO]]&lt;&gt;"",EOMONTH(LoanStartDate,ROW(PaymentSchedule4[[#This Row],[PMT NO]])-ROW(PaymentSchedule4[[#Headers],[PMT NO]])-2)+DAY(LoanStartDate),"")</f>
        <v>50649</v>
      </c>
      <c r="D255" s="32">
        <f>IF(PaymentSchedule4[[#This Row],[PMT NO]]&lt;&gt;"",IF(ROW()-ROW(PaymentSchedule4[[#Headers],[BEGINNING BALANCE]])=1,LoanAmount,INDEX(PaymentSchedule4[ENDING BALANCE],ROW()-ROW(PaymentSchedule4[[#Headers],[BEGINNING BALANCE]])-1)),"")</f>
        <v>73817.795759119486</v>
      </c>
      <c r="E255" s="32">
        <f>IF(PaymentSchedule4[[#This Row],[PMT NO]]&lt;&gt;"",ScheduledPayment,"")</f>
        <v>760.02796473882097</v>
      </c>
      <c r="F25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5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55" s="32">
        <f>IF(PaymentSchedule4[[#This Row],[PMT NO]]&lt;&gt;"",PaymentSchedule4[[#This Row],[TOTAL PAYMENT]]-PaymentSchedule4[[#This Row],[INTEREST]],"")</f>
        <v>483.21123064212293</v>
      </c>
      <c r="I255" s="32">
        <f>IF(PaymentSchedule4[[#This Row],[PMT NO]]&lt;&gt;"",PaymentSchedule4[[#This Row],[BEGINNING BALANCE]]*(InterestRate/PaymentsPerYear),"")</f>
        <v>276.81673409669804</v>
      </c>
      <c r="J25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73334.584528477368</v>
      </c>
      <c r="K255" s="32">
        <f>IF(PaymentSchedule4[[#This Row],[PMT NO]]&lt;&gt;"",SUM(INDEX(PaymentSchedule4[INTEREST],1,1):PaymentSchedule4[[#This Row],[INTEREST]]),"")</f>
        <v>105741.29606579432</v>
      </c>
    </row>
    <row r="256" spans="2:11" x14ac:dyDescent="0.3">
      <c r="B256" s="30">
        <f>IF(LoanIsGood,IF(ROW()-ROW(PaymentSchedule4[[#Headers],[PMT NO]])&gt;ScheduledNumberOfPayments,"",ROW()-ROW(PaymentSchedule4[[#Headers],[PMT NO]])),"")</f>
        <v>241</v>
      </c>
      <c r="C256" s="31">
        <f>IF(PaymentSchedule4[[#This Row],[PMT NO]]&lt;&gt;"",EOMONTH(LoanStartDate,ROW(PaymentSchedule4[[#This Row],[PMT NO]])-ROW(PaymentSchedule4[[#Headers],[PMT NO]])-2)+DAY(LoanStartDate),"")</f>
        <v>50679</v>
      </c>
      <c r="D256" s="32">
        <f>IF(PaymentSchedule4[[#This Row],[PMT NO]]&lt;&gt;"",IF(ROW()-ROW(PaymentSchedule4[[#Headers],[BEGINNING BALANCE]])=1,LoanAmount,INDEX(PaymentSchedule4[ENDING BALANCE],ROW()-ROW(PaymentSchedule4[[#Headers],[BEGINNING BALANCE]])-1)),"")</f>
        <v>73334.584528477368</v>
      </c>
      <c r="E256" s="32">
        <f>IF(PaymentSchedule4[[#This Row],[PMT NO]]&lt;&gt;"",ScheduledPayment,"")</f>
        <v>760.02796473882097</v>
      </c>
      <c r="F25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5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56" s="32">
        <f>IF(PaymentSchedule4[[#This Row],[PMT NO]]&lt;&gt;"",PaymentSchedule4[[#This Row],[TOTAL PAYMENT]]-PaymentSchedule4[[#This Row],[INTEREST]],"")</f>
        <v>485.02327275703084</v>
      </c>
      <c r="I256" s="32">
        <f>IF(PaymentSchedule4[[#This Row],[PMT NO]]&lt;&gt;"",PaymentSchedule4[[#This Row],[BEGINNING BALANCE]]*(InterestRate/PaymentsPerYear),"")</f>
        <v>275.00469198179013</v>
      </c>
      <c r="J25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72849.561255720342</v>
      </c>
      <c r="K256" s="32">
        <f>IF(PaymentSchedule4[[#This Row],[PMT NO]]&lt;&gt;"",SUM(INDEX(PaymentSchedule4[INTEREST],1,1):PaymentSchedule4[[#This Row],[INTEREST]]),"")</f>
        <v>106016.3007577761</v>
      </c>
    </row>
    <row r="257" spans="2:11" x14ac:dyDescent="0.3">
      <c r="B257" s="30">
        <f>IF(LoanIsGood,IF(ROW()-ROW(PaymentSchedule4[[#Headers],[PMT NO]])&gt;ScheduledNumberOfPayments,"",ROW()-ROW(PaymentSchedule4[[#Headers],[PMT NO]])),"")</f>
        <v>242</v>
      </c>
      <c r="C257" s="31">
        <f>IF(PaymentSchedule4[[#This Row],[PMT NO]]&lt;&gt;"",EOMONTH(LoanStartDate,ROW(PaymentSchedule4[[#This Row],[PMT NO]])-ROW(PaymentSchedule4[[#Headers],[PMT NO]])-2)+DAY(LoanStartDate),"")</f>
        <v>50710</v>
      </c>
      <c r="D257" s="32">
        <f>IF(PaymentSchedule4[[#This Row],[PMT NO]]&lt;&gt;"",IF(ROW()-ROW(PaymentSchedule4[[#Headers],[BEGINNING BALANCE]])=1,LoanAmount,INDEX(PaymentSchedule4[ENDING BALANCE],ROW()-ROW(PaymentSchedule4[[#Headers],[BEGINNING BALANCE]])-1)),"")</f>
        <v>72849.561255720342</v>
      </c>
      <c r="E257" s="32">
        <f>IF(PaymentSchedule4[[#This Row],[PMT NO]]&lt;&gt;"",ScheduledPayment,"")</f>
        <v>760.02796473882097</v>
      </c>
      <c r="F25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5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57" s="32">
        <f>IF(PaymentSchedule4[[#This Row],[PMT NO]]&lt;&gt;"",PaymentSchedule4[[#This Row],[TOTAL PAYMENT]]-PaymentSchedule4[[#This Row],[INTEREST]],"")</f>
        <v>486.84211002986967</v>
      </c>
      <c r="I257" s="32">
        <f>IF(PaymentSchedule4[[#This Row],[PMT NO]]&lt;&gt;"",PaymentSchedule4[[#This Row],[BEGINNING BALANCE]]*(InterestRate/PaymentsPerYear),"")</f>
        <v>273.1858547089513</v>
      </c>
      <c r="J25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72362.719145690469</v>
      </c>
      <c r="K257" s="32">
        <f>IF(PaymentSchedule4[[#This Row],[PMT NO]]&lt;&gt;"",SUM(INDEX(PaymentSchedule4[INTEREST],1,1):PaymentSchedule4[[#This Row],[INTEREST]]),"")</f>
        <v>106289.48661248505</v>
      </c>
    </row>
    <row r="258" spans="2:11" x14ac:dyDescent="0.3">
      <c r="B258" s="30">
        <f>IF(LoanIsGood,IF(ROW()-ROW(PaymentSchedule4[[#Headers],[PMT NO]])&gt;ScheduledNumberOfPayments,"",ROW()-ROW(PaymentSchedule4[[#Headers],[PMT NO]])),"")</f>
        <v>243</v>
      </c>
      <c r="C258" s="31">
        <f>IF(PaymentSchedule4[[#This Row],[PMT NO]]&lt;&gt;"",EOMONTH(LoanStartDate,ROW(PaymentSchedule4[[#This Row],[PMT NO]])-ROW(PaymentSchedule4[[#Headers],[PMT NO]])-2)+DAY(LoanStartDate),"")</f>
        <v>50740</v>
      </c>
      <c r="D258" s="32">
        <f>IF(PaymentSchedule4[[#This Row],[PMT NO]]&lt;&gt;"",IF(ROW()-ROW(PaymentSchedule4[[#Headers],[BEGINNING BALANCE]])=1,LoanAmount,INDEX(PaymentSchedule4[ENDING BALANCE],ROW()-ROW(PaymentSchedule4[[#Headers],[BEGINNING BALANCE]])-1)),"")</f>
        <v>72362.719145690469</v>
      </c>
      <c r="E258" s="32">
        <f>IF(PaymentSchedule4[[#This Row],[PMT NO]]&lt;&gt;"",ScheduledPayment,"")</f>
        <v>760.02796473882097</v>
      </c>
      <c r="F25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5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58" s="32">
        <f>IF(PaymentSchedule4[[#This Row],[PMT NO]]&lt;&gt;"",PaymentSchedule4[[#This Row],[TOTAL PAYMENT]]-PaymentSchedule4[[#This Row],[INTEREST]],"")</f>
        <v>488.6677679424817</v>
      </c>
      <c r="I258" s="32">
        <f>IF(PaymentSchedule4[[#This Row],[PMT NO]]&lt;&gt;"",PaymentSchedule4[[#This Row],[BEGINNING BALANCE]]*(InterestRate/PaymentsPerYear),"")</f>
        <v>271.36019679633927</v>
      </c>
      <c r="J25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71874.051377747994</v>
      </c>
      <c r="K258" s="32">
        <f>IF(PaymentSchedule4[[#This Row],[PMT NO]]&lt;&gt;"",SUM(INDEX(PaymentSchedule4[INTEREST],1,1):PaymentSchedule4[[#This Row],[INTEREST]]),"")</f>
        <v>106560.84680928139</v>
      </c>
    </row>
    <row r="259" spans="2:11" x14ac:dyDescent="0.3">
      <c r="B259" s="30">
        <f>IF(LoanIsGood,IF(ROW()-ROW(PaymentSchedule4[[#Headers],[PMT NO]])&gt;ScheduledNumberOfPayments,"",ROW()-ROW(PaymentSchedule4[[#Headers],[PMT NO]])),"")</f>
        <v>244</v>
      </c>
      <c r="C259" s="31">
        <f>IF(PaymentSchedule4[[#This Row],[PMT NO]]&lt;&gt;"",EOMONTH(LoanStartDate,ROW(PaymentSchedule4[[#This Row],[PMT NO]])-ROW(PaymentSchedule4[[#Headers],[PMT NO]])-2)+DAY(LoanStartDate),"")</f>
        <v>50771</v>
      </c>
      <c r="D259" s="32">
        <f>IF(PaymentSchedule4[[#This Row],[PMT NO]]&lt;&gt;"",IF(ROW()-ROW(PaymentSchedule4[[#Headers],[BEGINNING BALANCE]])=1,LoanAmount,INDEX(PaymentSchedule4[ENDING BALANCE],ROW()-ROW(PaymentSchedule4[[#Headers],[BEGINNING BALANCE]])-1)),"")</f>
        <v>71874.051377747994</v>
      </c>
      <c r="E259" s="32">
        <f>IF(PaymentSchedule4[[#This Row],[PMT NO]]&lt;&gt;"",ScheduledPayment,"")</f>
        <v>760.02796473882097</v>
      </c>
      <c r="F25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5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59" s="32">
        <f>IF(PaymentSchedule4[[#This Row],[PMT NO]]&lt;&gt;"",PaymentSchedule4[[#This Row],[TOTAL PAYMENT]]-PaymentSchedule4[[#This Row],[INTEREST]],"")</f>
        <v>490.500272072266</v>
      </c>
      <c r="I259" s="32">
        <f>IF(PaymentSchedule4[[#This Row],[PMT NO]]&lt;&gt;"",PaymentSchedule4[[#This Row],[BEGINNING BALANCE]]*(InterestRate/PaymentsPerYear),"")</f>
        <v>269.52769266655497</v>
      </c>
      <c r="J25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71383.551105675724</v>
      </c>
      <c r="K259" s="32">
        <f>IF(PaymentSchedule4[[#This Row],[PMT NO]]&lt;&gt;"",SUM(INDEX(PaymentSchedule4[INTEREST],1,1):PaymentSchedule4[[#This Row],[INTEREST]]),"")</f>
        <v>106830.37450194794</v>
      </c>
    </row>
    <row r="260" spans="2:11" x14ac:dyDescent="0.3">
      <c r="B260" s="30">
        <f>IF(LoanIsGood,IF(ROW()-ROW(PaymentSchedule4[[#Headers],[PMT NO]])&gt;ScheduledNumberOfPayments,"",ROW()-ROW(PaymentSchedule4[[#Headers],[PMT NO]])),"")</f>
        <v>245</v>
      </c>
      <c r="C260" s="31">
        <f>IF(PaymentSchedule4[[#This Row],[PMT NO]]&lt;&gt;"",EOMONTH(LoanStartDate,ROW(PaymentSchedule4[[#This Row],[PMT NO]])-ROW(PaymentSchedule4[[#Headers],[PMT NO]])-2)+DAY(LoanStartDate),"")</f>
        <v>50802</v>
      </c>
      <c r="D260" s="32">
        <f>IF(PaymentSchedule4[[#This Row],[PMT NO]]&lt;&gt;"",IF(ROW()-ROW(PaymentSchedule4[[#Headers],[BEGINNING BALANCE]])=1,LoanAmount,INDEX(PaymentSchedule4[ENDING BALANCE],ROW()-ROW(PaymentSchedule4[[#Headers],[BEGINNING BALANCE]])-1)),"")</f>
        <v>71383.551105675724</v>
      </c>
      <c r="E260" s="32">
        <f>IF(PaymentSchedule4[[#This Row],[PMT NO]]&lt;&gt;"",ScheduledPayment,"")</f>
        <v>760.02796473882097</v>
      </c>
      <c r="F26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6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60" s="32">
        <f>IF(PaymentSchedule4[[#This Row],[PMT NO]]&lt;&gt;"",PaymentSchedule4[[#This Row],[TOTAL PAYMENT]]-PaymentSchedule4[[#This Row],[INTEREST]],"")</f>
        <v>492.339648092537</v>
      </c>
      <c r="I260" s="32">
        <f>IF(PaymentSchedule4[[#This Row],[PMT NO]]&lt;&gt;"",PaymentSchedule4[[#This Row],[BEGINNING BALANCE]]*(InterestRate/PaymentsPerYear),"")</f>
        <v>267.68831664628397</v>
      </c>
      <c r="J26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70891.21145758318</v>
      </c>
      <c r="K260" s="32">
        <f>IF(PaymentSchedule4[[#This Row],[PMT NO]]&lt;&gt;"",SUM(INDEX(PaymentSchedule4[INTEREST],1,1):PaymentSchedule4[[#This Row],[INTEREST]]),"")</f>
        <v>107098.06281859422</v>
      </c>
    </row>
    <row r="261" spans="2:11" x14ac:dyDescent="0.3">
      <c r="B261" s="30">
        <f>IF(LoanIsGood,IF(ROW()-ROW(PaymentSchedule4[[#Headers],[PMT NO]])&gt;ScheduledNumberOfPayments,"",ROW()-ROW(PaymentSchedule4[[#Headers],[PMT NO]])),"")</f>
        <v>246</v>
      </c>
      <c r="C261" s="31">
        <f>IF(PaymentSchedule4[[#This Row],[PMT NO]]&lt;&gt;"",EOMONTH(LoanStartDate,ROW(PaymentSchedule4[[#This Row],[PMT NO]])-ROW(PaymentSchedule4[[#Headers],[PMT NO]])-2)+DAY(LoanStartDate),"")</f>
        <v>50830</v>
      </c>
      <c r="D261" s="32">
        <f>IF(PaymentSchedule4[[#This Row],[PMT NO]]&lt;&gt;"",IF(ROW()-ROW(PaymentSchedule4[[#Headers],[BEGINNING BALANCE]])=1,LoanAmount,INDEX(PaymentSchedule4[ENDING BALANCE],ROW()-ROW(PaymentSchedule4[[#Headers],[BEGINNING BALANCE]])-1)),"")</f>
        <v>70891.21145758318</v>
      </c>
      <c r="E261" s="32">
        <f>IF(PaymentSchedule4[[#This Row],[PMT NO]]&lt;&gt;"",ScheduledPayment,"")</f>
        <v>760.02796473882097</v>
      </c>
      <c r="F26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6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61" s="32">
        <f>IF(PaymentSchedule4[[#This Row],[PMT NO]]&lt;&gt;"",PaymentSchedule4[[#This Row],[TOTAL PAYMENT]]-PaymentSchedule4[[#This Row],[INTEREST]],"")</f>
        <v>494.18592177288406</v>
      </c>
      <c r="I261" s="32">
        <f>IF(PaymentSchedule4[[#This Row],[PMT NO]]&lt;&gt;"",PaymentSchedule4[[#This Row],[BEGINNING BALANCE]]*(InterestRate/PaymentsPerYear),"")</f>
        <v>265.84204296593691</v>
      </c>
      <c r="J26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70397.025535810302</v>
      </c>
      <c r="K261" s="32">
        <f>IF(PaymentSchedule4[[#This Row],[PMT NO]]&lt;&gt;"",SUM(INDEX(PaymentSchedule4[INTEREST],1,1):PaymentSchedule4[[#This Row],[INTEREST]]),"")</f>
        <v>107363.90486156015</v>
      </c>
    </row>
    <row r="262" spans="2:11" x14ac:dyDescent="0.3">
      <c r="B262" s="30">
        <f>IF(LoanIsGood,IF(ROW()-ROW(PaymentSchedule4[[#Headers],[PMT NO]])&gt;ScheduledNumberOfPayments,"",ROW()-ROW(PaymentSchedule4[[#Headers],[PMT NO]])),"")</f>
        <v>247</v>
      </c>
      <c r="C262" s="31">
        <f>IF(PaymentSchedule4[[#This Row],[PMT NO]]&lt;&gt;"",EOMONTH(LoanStartDate,ROW(PaymentSchedule4[[#This Row],[PMT NO]])-ROW(PaymentSchedule4[[#Headers],[PMT NO]])-2)+DAY(LoanStartDate),"")</f>
        <v>50861</v>
      </c>
      <c r="D262" s="32">
        <f>IF(PaymentSchedule4[[#This Row],[PMT NO]]&lt;&gt;"",IF(ROW()-ROW(PaymentSchedule4[[#Headers],[BEGINNING BALANCE]])=1,LoanAmount,INDEX(PaymentSchedule4[ENDING BALANCE],ROW()-ROW(PaymentSchedule4[[#Headers],[BEGINNING BALANCE]])-1)),"")</f>
        <v>70397.025535810302</v>
      </c>
      <c r="E262" s="32">
        <f>IF(PaymentSchedule4[[#This Row],[PMT NO]]&lt;&gt;"",ScheduledPayment,"")</f>
        <v>760.02796473882097</v>
      </c>
      <c r="F26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6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62" s="32">
        <f>IF(PaymentSchedule4[[#This Row],[PMT NO]]&lt;&gt;"",PaymentSchedule4[[#This Row],[TOTAL PAYMENT]]-PaymentSchedule4[[#This Row],[INTEREST]],"")</f>
        <v>496.03911897953236</v>
      </c>
      <c r="I262" s="32">
        <f>IF(PaymentSchedule4[[#This Row],[PMT NO]]&lt;&gt;"",PaymentSchedule4[[#This Row],[BEGINNING BALANCE]]*(InterestRate/PaymentsPerYear),"")</f>
        <v>263.98884575928861</v>
      </c>
      <c r="J26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69900.986416830769</v>
      </c>
      <c r="K262" s="32">
        <f>IF(PaymentSchedule4[[#This Row],[PMT NO]]&lt;&gt;"",SUM(INDEX(PaymentSchedule4[INTEREST],1,1):PaymentSchedule4[[#This Row],[INTEREST]]),"")</f>
        <v>107627.89370731944</v>
      </c>
    </row>
    <row r="263" spans="2:11" x14ac:dyDescent="0.3">
      <c r="B263" s="30">
        <f>IF(LoanIsGood,IF(ROW()-ROW(PaymentSchedule4[[#Headers],[PMT NO]])&gt;ScheduledNumberOfPayments,"",ROW()-ROW(PaymentSchedule4[[#Headers],[PMT NO]])),"")</f>
        <v>248</v>
      </c>
      <c r="C263" s="31">
        <f>IF(PaymentSchedule4[[#This Row],[PMT NO]]&lt;&gt;"",EOMONTH(LoanStartDate,ROW(PaymentSchedule4[[#This Row],[PMT NO]])-ROW(PaymentSchedule4[[#Headers],[PMT NO]])-2)+DAY(LoanStartDate),"")</f>
        <v>50891</v>
      </c>
      <c r="D263" s="32">
        <f>IF(PaymentSchedule4[[#This Row],[PMT NO]]&lt;&gt;"",IF(ROW()-ROW(PaymentSchedule4[[#Headers],[BEGINNING BALANCE]])=1,LoanAmount,INDEX(PaymentSchedule4[ENDING BALANCE],ROW()-ROW(PaymentSchedule4[[#Headers],[BEGINNING BALANCE]])-1)),"")</f>
        <v>69900.986416830769</v>
      </c>
      <c r="E263" s="32">
        <f>IF(PaymentSchedule4[[#This Row],[PMT NO]]&lt;&gt;"",ScheduledPayment,"")</f>
        <v>760.02796473882097</v>
      </c>
      <c r="F26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6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63" s="32">
        <f>IF(PaymentSchedule4[[#This Row],[PMT NO]]&lt;&gt;"",PaymentSchedule4[[#This Row],[TOTAL PAYMENT]]-PaymentSchedule4[[#This Row],[INTEREST]],"")</f>
        <v>497.89926567570558</v>
      </c>
      <c r="I263" s="32">
        <f>IF(PaymentSchedule4[[#This Row],[PMT NO]]&lt;&gt;"",PaymentSchedule4[[#This Row],[BEGINNING BALANCE]]*(InterestRate/PaymentsPerYear),"")</f>
        <v>262.12869906311539</v>
      </c>
      <c r="J26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69403.087151155065</v>
      </c>
      <c r="K263" s="32">
        <f>IF(PaymentSchedule4[[#This Row],[PMT NO]]&lt;&gt;"",SUM(INDEX(PaymentSchedule4[INTEREST],1,1):PaymentSchedule4[[#This Row],[INTEREST]]),"")</f>
        <v>107890.02240638256</v>
      </c>
    </row>
    <row r="264" spans="2:11" x14ac:dyDescent="0.3">
      <c r="B264" s="30">
        <f>IF(LoanIsGood,IF(ROW()-ROW(PaymentSchedule4[[#Headers],[PMT NO]])&gt;ScheduledNumberOfPayments,"",ROW()-ROW(PaymentSchedule4[[#Headers],[PMT NO]])),"")</f>
        <v>249</v>
      </c>
      <c r="C264" s="31">
        <f>IF(PaymentSchedule4[[#This Row],[PMT NO]]&lt;&gt;"",EOMONTH(LoanStartDate,ROW(PaymentSchedule4[[#This Row],[PMT NO]])-ROW(PaymentSchedule4[[#Headers],[PMT NO]])-2)+DAY(LoanStartDate),"")</f>
        <v>50922</v>
      </c>
      <c r="D264" s="32">
        <f>IF(PaymentSchedule4[[#This Row],[PMT NO]]&lt;&gt;"",IF(ROW()-ROW(PaymentSchedule4[[#Headers],[BEGINNING BALANCE]])=1,LoanAmount,INDEX(PaymentSchedule4[ENDING BALANCE],ROW()-ROW(PaymentSchedule4[[#Headers],[BEGINNING BALANCE]])-1)),"")</f>
        <v>69403.087151155065</v>
      </c>
      <c r="E264" s="32">
        <f>IF(PaymentSchedule4[[#This Row],[PMT NO]]&lt;&gt;"",ScheduledPayment,"")</f>
        <v>760.02796473882097</v>
      </c>
      <c r="F26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6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64" s="32">
        <f>IF(PaymentSchedule4[[#This Row],[PMT NO]]&lt;&gt;"",PaymentSchedule4[[#This Row],[TOTAL PAYMENT]]-PaymentSchedule4[[#This Row],[INTEREST]],"")</f>
        <v>499.76638792198946</v>
      </c>
      <c r="I264" s="32">
        <f>IF(PaymentSchedule4[[#This Row],[PMT NO]]&lt;&gt;"",PaymentSchedule4[[#This Row],[BEGINNING BALANCE]]*(InterestRate/PaymentsPerYear),"")</f>
        <v>260.26157681683151</v>
      </c>
      <c r="J26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68903.320763233074</v>
      </c>
      <c r="K264" s="32">
        <f>IF(PaymentSchedule4[[#This Row],[PMT NO]]&lt;&gt;"",SUM(INDEX(PaymentSchedule4[INTEREST],1,1):PaymentSchedule4[[#This Row],[INTEREST]]),"")</f>
        <v>108150.28398319939</v>
      </c>
    </row>
    <row r="265" spans="2:11" x14ac:dyDescent="0.3">
      <c r="B265" s="30">
        <f>IF(LoanIsGood,IF(ROW()-ROW(PaymentSchedule4[[#Headers],[PMT NO]])&gt;ScheduledNumberOfPayments,"",ROW()-ROW(PaymentSchedule4[[#Headers],[PMT NO]])),"")</f>
        <v>250</v>
      </c>
      <c r="C265" s="31">
        <f>IF(PaymentSchedule4[[#This Row],[PMT NO]]&lt;&gt;"",EOMONTH(LoanStartDate,ROW(PaymentSchedule4[[#This Row],[PMT NO]])-ROW(PaymentSchedule4[[#Headers],[PMT NO]])-2)+DAY(LoanStartDate),"")</f>
        <v>50952</v>
      </c>
      <c r="D265" s="32">
        <f>IF(PaymentSchedule4[[#This Row],[PMT NO]]&lt;&gt;"",IF(ROW()-ROW(PaymentSchedule4[[#Headers],[BEGINNING BALANCE]])=1,LoanAmount,INDEX(PaymentSchedule4[ENDING BALANCE],ROW()-ROW(PaymentSchedule4[[#Headers],[BEGINNING BALANCE]])-1)),"")</f>
        <v>68903.320763233074</v>
      </c>
      <c r="E265" s="32">
        <f>IF(PaymentSchedule4[[#This Row],[PMT NO]]&lt;&gt;"",ScheduledPayment,"")</f>
        <v>760.02796473882097</v>
      </c>
      <c r="F26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6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65" s="32">
        <f>IF(PaymentSchedule4[[#This Row],[PMT NO]]&lt;&gt;"",PaymentSchedule4[[#This Row],[TOTAL PAYMENT]]-PaymentSchedule4[[#This Row],[INTEREST]],"")</f>
        <v>501.64051187669696</v>
      </c>
      <c r="I265" s="32">
        <f>IF(PaymentSchedule4[[#This Row],[PMT NO]]&lt;&gt;"",PaymentSchedule4[[#This Row],[BEGINNING BALANCE]]*(InterestRate/PaymentsPerYear),"")</f>
        <v>258.38745286212401</v>
      </c>
      <c r="J26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68401.680251356374</v>
      </c>
      <c r="K265" s="32">
        <f>IF(PaymentSchedule4[[#This Row],[PMT NO]]&lt;&gt;"",SUM(INDEX(PaymentSchedule4[INTEREST],1,1):PaymentSchedule4[[#This Row],[INTEREST]]),"")</f>
        <v>108408.67143606152</v>
      </c>
    </row>
    <row r="266" spans="2:11" x14ac:dyDescent="0.3">
      <c r="B266" s="30">
        <f>IF(LoanIsGood,IF(ROW()-ROW(PaymentSchedule4[[#Headers],[PMT NO]])&gt;ScheduledNumberOfPayments,"",ROW()-ROW(PaymentSchedule4[[#Headers],[PMT NO]])),"")</f>
        <v>251</v>
      </c>
      <c r="C266" s="31">
        <f>IF(PaymentSchedule4[[#This Row],[PMT NO]]&lt;&gt;"",EOMONTH(LoanStartDate,ROW(PaymentSchedule4[[#This Row],[PMT NO]])-ROW(PaymentSchedule4[[#Headers],[PMT NO]])-2)+DAY(LoanStartDate),"")</f>
        <v>50983</v>
      </c>
      <c r="D266" s="32">
        <f>IF(PaymentSchedule4[[#This Row],[PMT NO]]&lt;&gt;"",IF(ROW()-ROW(PaymentSchedule4[[#Headers],[BEGINNING BALANCE]])=1,LoanAmount,INDEX(PaymentSchedule4[ENDING BALANCE],ROW()-ROW(PaymentSchedule4[[#Headers],[BEGINNING BALANCE]])-1)),"")</f>
        <v>68401.680251356374</v>
      </c>
      <c r="E266" s="32">
        <f>IF(PaymentSchedule4[[#This Row],[PMT NO]]&lt;&gt;"",ScheduledPayment,"")</f>
        <v>760.02796473882097</v>
      </c>
      <c r="F26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6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66" s="32">
        <f>IF(PaymentSchedule4[[#This Row],[PMT NO]]&lt;&gt;"",PaymentSchedule4[[#This Row],[TOTAL PAYMENT]]-PaymentSchedule4[[#This Row],[INTEREST]],"")</f>
        <v>503.52166379623458</v>
      </c>
      <c r="I266" s="32">
        <f>IF(PaymentSchedule4[[#This Row],[PMT NO]]&lt;&gt;"",PaymentSchedule4[[#This Row],[BEGINNING BALANCE]]*(InterestRate/PaymentsPerYear),"")</f>
        <v>256.50630094258639</v>
      </c>
      <c r="J26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67898.158587560145</v>
      </c>
      <c r="K266" s="32">
        <f>IF(PaymentSchedule4[[#This Row],[PMT NO]]&lt;&gt;"",SUM(INDEX(PaymentSchedule4[INTEREST],1,1):PaymentSchedule4[[#This Row],[INTEREST]]),"")</f>
        <v>108665.17773700409</v>
      </c>
    </row>
    <row r="267" spans="2:11" x14ac:dyDescent="0.3">
      <c r="B267" s="30">
        <f>IF(LoanIsGood,IF(ROW()-ROW(PaymentSchedule4[[#Headers],[PMT NO]])&gt;ScheduledNumberOfPayments,"",ROW()-ROW(PaymentSchedule4[[#Headers],[PMT NO]])),"")</f>
        <v>252</v>
      </c>
      <c r="C267" s="31">
        <f>IF(PaymentSchedule4[[#This Row],[PMT NO]]&lt;&gt;"",EOMONTH(LoanStartDate,ROW(PaymentSchedule4[[#This Row],[PMT NO]])-ROW(PaymentSchedule4[[#Headers],[PMT NO]])-2)+DAY(LoanStartDate),"")</f>
        <v>51014</v>
      </c>
      <c r="D267" s="32">
        <f>IF(PaymentSchedule4[[#This Row],[PMT NO]]&lt;&gt;"",IF(ROW()-ROW(PaymentSchedule4[[#Headers],[BEGINNING BALANCE]])=1,LoanAmount,INDEX(PaymentSchedule4[ENDING BALANCE],ROW()-ROW(PaymentSchedule4[[#Headers],[BEGINNING BALANCE]])-1)),"")</f>
        <v>67898.158587560145</v>
      </c>
      <c r="E267" s="32">
        <f>IF(PaymentSchedule4[[#This Row],[PMT NO]]&lt;&gt;"",ScheduledPayment,"")</f>
        <v>760.02796473882097</v>
      </c>
      <c r="F26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6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67" s="32">
        <f>IF(PaymentSchedule4[[#This Row],[PMT NO]]&lt;&gt;"",PaymentSchedule4[[#This Row],[TOTAL PAYMENT]]-PaymentSchedule4[[#This Row],[INTEREST]],"")</f>
        <v>505.40987003547048</v>
      </c>
      <c r="I267" s="32">
        <f>IF(PaymentSchedule4[[#This Row],[PMT NO]]&lt;&gt;"",PaymentSchedule4[[#This Row],[BEGINNING BALANCE]]*(InterestRate/PaymentsPerYear),"")</f>
        <v>254.61809470335052</v>
      </c>
      <c r="J26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67392.748717524679</v>
      </c>
      <c r="K267" s="32">
        <f>IF(PaymentSchedule4[[#This Row],[PMT NO]]&lt;&gt;"",SUM(INDEX(PaymentSchedule4[INTEREST],1,1):PaymentSchedule4[[#This Row],[INTEREST]]),"")</f>
        <v>108919.79583170745</v>
      </c>
    </row>
    <row r="268" spans="2:11" x14ac:dyDescent="0.3">
      <c r="B268" s="30">
        <f>IF(LoanIsGood,IF(ROW()-ROW(PaymentSchedule4[[#Headers],[PMT NO]])&gt;ScheduledNumberOfPayments,"",ROW()-ROW(PaymentSchedule4[[#Headers],[PMT NO]])),"")</f>
        <v>253</v>
      </c>
      <c r="C268" s="31">
        <f>IF(PaymentSchedule4[[#This Row],[PMT NO]]&lt;&gt;"",EOMONTH(LoanStartDate,ROW(PaymentSchedule4[[#This Row],[PMT NO]])-ROW(PaymentSchedule4[[#Headers],[PMT NO]])-2)+DAY(LoanStartDate),"")</f>
        <v>51044</v>
      </c>
      <c r="D268" s="32">
        <f>IF(PaymentSchedule4[[#This Row],[PMT NO]]&lt;&gt;"",IF(ROW()-ROW(PaymentSchedule4[[#Headers],[BEGINNING BALANCE]])=1,LoanAmount,INDEX(PaymentSchedule4[ENDING BALANCE],ROW()-ROW(PaymentSchedule4[[#Headers],[BEGINNING BALANCE]])-1)),"")</f>
        <v>67392.748717524679</v>
      </c>
      <c r="E268" s="32">
        <f>IF(PaymentSchedule4[[#This Row],[PMT NO]]&lt;&gt;"",ScheduledPayment,"")</f>
        <v>760.02796473882097</v>
      </c>
      <c r="F26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6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68" s="32">
        <f>IF(PaymentSchedule4[[#This Row],[PMT NO]]&lt;&gt;"",PaymentSchedule4[[#This Row],[TOTAL PAYMENT]]-PaymentSchedule4[[#This Row],[INTEREST]],"")</f>
        <v>507.30515704810341</v>
      </c>
      <c r="I268" s="32">
        <f>IF(PaymentSchedule4[[#This Row],[PMT NO]]&lt;&gt;"",PaymentSchedule4[[#This Row],[BEGINNING BALANCE]]*(InterestRate/PaymentsPerYear),"")</f>
        <v>252.72280769071753</v>
      </c>
      <c r="J26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66885.443560476575</v>
      </c>
      <c r="K268" s="32">
        <f>IF(PaymentSchedule4[[#This Row],[PMT NO]]&lt;&gt;"",SUM(INDEX(PaymentSchedule4[INTEREST],1,1):PaymentSchedule4[[#This Row],[INTEREST]]),"")</f>
        <v>109172.51863939817</v>
      </c>
    </row>
    <row r="269" spans="2:11" x14ac:dyDescent="0.3">
      <c r="B269" s="30">
        <f>IF(LoanIsGood,IF(ROW()-ROW(PaymentSchedule4[[#Headers],[PMT NO]])&gt;ScheduledNumberOfPayments,"",ROW()-ROW(PaymentSchedule4[[#Headers],[PMT NO]])),"")</f>
        <v>254</v>
      </c>
      <c r="C269" s="31">
        <f>IF(PaymentSchedule4[[#This Row],[PMT NO]]&lt;&gt;"",EOMONTH(LoanStartDate,ROW(PaymentSchedule4[[#This Row],[PMT NO]])-ROW(PaymentSchedule4[[#Headers],[PMT NO]])-2)+DAY(LoanStartDate),"")</f>
        <v>51075</v>
      </c>
      <c r="D269" s="32">
        <f>IF(PaymentSchedule4[[#This Row],[PMT NO]]&lt;&gt;"",IF(ROW()-ROW(PaymentSchedule4[[#Headers],[BEGINNING BALANCE]])=1,LoanAmount,INDEX(PaymentSchedule4[ENDING BALANCE],ROW()-ROW(PaymentSchedule4[[#Headers],[BEGINNING BALANCE]])-1)),"")</f>
        <v>66885.443560476575</v>
      </c>
      <c r="E269" s="32">
        <f>IF(PaymentSchedule4[[#This Row],[PMT NO]]&lt;&gt;"",ScheduledPayment,"")</f>
        <v>760.02796473882097</v>
      </c>
      <c r="F26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6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69" s="32">
        <f>IF(PaymentSchedule4[[#This Row],[PMT NO]]&lt;&gt;"",PaymentSchedule4[[#This Row],[TOTAL PAYMENT]]-PaymentSchedule4[[#This Row],[INTEREST]],"")</f>
        <v>509.20755138703385</v>
      </c>
      <c r="I269" s="32">
        <f>IF(PaymentSchedule4[[#This Row],[PMT NO]]&lt;&gt;"",PaymentSchedule4[[#This Row],[BEGINNING BALANCE]]*(InterestRate/PaymentsPerYear),"")</f>
        <v>250.82041335178715</v>
      </c>
      <c r="J26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66376.236009089538</v>
      </c>
      <c r="K269" s="32">
        <f>IF(PaymentSchedule4[[#This Row],[PMT NO]]&lt;&gt;"",SUM(INDEX(PaymentSchedule4[INTEREST],1,1):PaymentSchedule4[[#This Row],[INTEREST]]),"")</f>
        <v>109423.33905274996</v>
      </c>
    </row>
    <row r="270" spans="2:11" x14ac:dyDescent="0.3">
      <c r="B270" s="30">
        <f>IF(LoanIsGood,IF(ROW()-ROW(PaymentSchedule4[[#Headers],[PMT NO]])&gt;ScheduledNumberOfPayments,"",ROW()-ROW(PaymentSchedule4[[#Headers],[PMT NO]])),"")</f>
        <v>255</v>
      </c>
      <c r="C270" s="31">
        <f>IF(PaymentSchedule4[[#This Row],[PMT NO]]&lt;&gt;"",EOMONTH(LoanStartDate,ROW(PaymentSchedule4[[#This Row],[PMT NO]])-ROW(PaymentSchedule4[[#Headers],[PMT NO]])-2)+DAY(LoanStartDate),"")</f>
        <v>51105</v>
      </c>
      <c r="D270" s="32">
        <f>IF(PaymentSchedule4[[#This Row],[PMT NO]]&lt;&gt;"",IF(ROW()-ROW(PaymentSchedule4[[#Headers],[BEGINNING BALANCE]])=1,LoanAmount,INDEX(PaymentSchedule4[ENDING BALANCE],ROW()-ROW(PaymentSchedule4[[#Headers],[BEGINNING BALANCE]])-1)),"")</f>
        <v>66376.236009089538</v>
      </c>
      <c r="E270" s="32">
        <f>IF(PaymentSchedule4[[#This Row],[PMT NO]]&lt;&gt;"",ScheduledPayment,"")</f>
        <v>760.02796473882097</v>
      </c>
      <c r="F27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7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70" s="32">
        <f>IF(PaymentSchedule4[[#This Row],[PMT NO]]&lt;&gt;"",PaymentSchedule4[[#This Row],[TOTAL PAYMENT]]-PaymentSchedule4[[#This Row],[INTEREST]],"")</f>
        <v>511.1170797047352</v>
      </c>
      <c r="I270" s="32">
        <f>IF(PaymentSchedule4[[#This Row],[PMT NO]]&lt;&gt;"",PaymentSchedule4[[#This Row],[BEGINNING BALANCE]]*(InterestRate/PaymentsPerYear),"")</f>
        <v>248.91088503408577</v>
      </c>
      <c r="J27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65865.1189293848</v>
      </c>
      <c r="K270" s="32">
        <f>IF(PaymentSchedule4[[#This Row],[PMT NO]]&lt;&gt;"",SUM(INDEX(PaymentSchedule4[INTEREST],1,1):PaymentSchedule4[[#This Row],[INTEREST]]),"")</f>
        <v>109672.24993778404</v>
      </c>
    </row>
    <row r="271" spans="2:11" x14ac:dyDescent="0.3">
      <c r="B271" s="30">
        <f>IF(LoanIsGood,IF(ROW()-ROW(PaymentSchedule4[[#Headers],[PMT NO]])&gt;ScheduledNumberOfPayments,"",ROW()-ROW(PaymentSchedule4[[#Headers],[PMT NO]])),"")</f>
        <v>256</v>
      </c>
      <c r="C271" s="31">
        <f>IF(PaymentSchedule4[[#This Row],[PMT NO]]&lt;&gt;"",EOMONTH(LoanStartDate,ROW(PaymentSchedule4[[#This Row],[PMT NO]])-ROW(PaymentSchedule4[[#Headers],[PMT NO]])-2)+DAY(LoanStartDate),"")</f>
        <v>51136</v>
      </c>
      <c r="D271" s="32">
        <f>IF(PaymentSchedule4[[#This Row],[PMT NO]]&lt;&gt;"",IF(ROW()-ROW(PaymentSchedule4[[#Headers],[BEGINNING BALANCE]])=1,LoanAmount,INDEX(PaymentSchedule4[ENDING BALANCE],ROW()-ROW(PaymentSchedule4[[#Headers],[BEGINNING BALANCE]])-1)),"")</f>
        <v>65865.1189293848</v>
      </c>
      <c r="E271" s="32">
        <f>IF(PaymentSchedule4[[#This Row],[PMT NO]]&lt;&gt;"",ScheduledPayment,"")</f>
        <v>760.02796473882097</v>
      </c>
      <c r="F27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7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71" s="32">
        <f>IF(PaymentSchedule4[[#This Row],[PMT NO]]&lt;&gt;"",PaymentSchedule4[[#This Row],[TOTAL PAYMENT]]-PaymentSchedule4[[#This Row],[INTEREST]],"")</f>
        <v>513.03376875362801</v>
      </c>
      <c r="I271" s="32">
        <f>IF(PaymentSchedule4[[#This Row],[PMT NO]]&lt;&gt;"",PaymentSchedule4[[#This Row],[BEGINNING BALANCE]]*(InterestRate/PaymentsPerYear),"")</f>
        <v>246.99419598519299</v>
      </c>
      <c r="J27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65352.08516063117</v>
      </c>
      <c r="K271" s="32">
        <f>IF(PaymentSchedule4[[#This Row],[PMT NO]]&lt;&gt;"",SUM(INDEX(PaymentSchedule4[INTEREST],1,1):PaymentSchedule4[[#This Row],[INTEREST]]),"")</f>
        <v>109919.24413376923</v>
      </c>
    </row>
    <row r="272" spans="2:11" x14ac:dyDescent="0.3">
      <c r="B272" s="30">
        <f>IF(LoanIsGood,IF(ROW()-ROW(PaymentSchedule4[[#Headers],[PMT NO]])&gt;ScheduledNumberOfPayments,"",ROW()-ROW(PaymentSchedule4[[#Headers],[PMT NO]])),"")</f>
        <v>257</v>
      </c>
      <c r="C272" s="31">
        <f>IF(PaymentSchedule4[[#This Row],[PMT NO]]&lt;&gt;"",EOMONTH(LoanStartDate,ROW(PaymentSchedule4[[#This Row],[PMT NO]])-ROW(PaymentSchedule4[[#Headers],[PMT NO]])-2)+DAY(LoanStartDate),"")</f>
        <v>51167</v>
      </c>
      <c r="D272" s="32">
        <f>IF(PaymentSchedule4[[#This Row],[PMT NO]]&lt;&gt;"",IF(ROW()-ROW(PaymentSchedule4[[#Headers],[BEGINNING BALANCE]])=1,LoanAmount,INDEX(PaymentSchedule4[ENDING BALANCE],ROW()-ROW(PaymentSchedule4[[#Headers],[BEGINNING BALANCE]])-1)),"")</f>
        <v>65352.08516063117</v>
      </c>
      <c r="E272" s="32">
        <f>IF(PaymentSchedule4[[#This Row],[PMT NO]]&lt;&gt;"",ScheduledPayment,"")</f>
        <v>760.02796473882097</v>
      </c>
      <c r="F27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7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72" s="32">
        <f>IF(PaymentSchedule4[[#This Row],[PMT NO]]&lt;&gt;"",PaymentSchedule4[[#This Row],[TOTAL PAYMENT]]-PaymentSchedule4[[#This Row],[INTEREST]],"")</f>
        <v>514.95764538645403</v>
      </c>
      <c r="I272" s="32">
        <f>IF(PaymentSchedule4[[#This Row],[PMT NO]]&lt;&gt;"",PaymentSchedule4[[#This Row],[BEGINNING BALANCE]]*(InterestRate/PaymentsPerYear),"")</f>
        <v>245.07031935236688</v>
      </c>
      <c r="J27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64837.127515244712</v>
      </c>
      <c r="K272" s="32">
        <f>IF(PaymentSchedule4[[#This Row],[PMT NO]]&lt;&gt;"",SUM(INDEX(PaymentSchedule4[INTEREST],1,1):PaymentSchedule4[[#This Row],[INTEREST]]),"")</f>
        <v>110164.31445312159</v>
      </c>
    </row>
    <row r="273" spans="2:11" x14ac:dyDescent="0.3">
      <c r="B273" s="30">
        <f>IF(LoanIsGood,IF(ROW()-ROW(PaymentSchedule4[[#Headers],[PMT NO]])&gt;ScheduledNumberOfPayments,"",ROW()-ROW(PaymentSchedule4[[#Headers],[PMT NO]])),"")</f>
        <v>258</v>
      </c>
      <c r="C273" s="31">
        <f>IF(PaymentSchedule4[[#This Row],[PMT NO]]&lt;&gt;"",EOMONTH(LoanStartDate,ROW(PaymentSchedule4[[#This Row],[PMT NO]])-ROW(PaymentSchedule4[[#Headers],[PMT NO]])-2)+DAY(LoanStartDate),"")</f>
        <v>51196</v>
      </c>
      <c r="D273" s="32">
        <f>IF(PaymentSchedule4[[#This Row],[PMT NO]]&lt;&gt;"",IF(ROW()-ROW(PaymentSchedule4[[#Headers],[BEGINNING BALANCE]])=1,LoanAmount,INDEX(PaymentSchedule4[ENDING BALANCE],ROW()-ROW(PaymentSchedule4[[#Headers],[BEGINNING BALANCE]])-1)),"")</f>
        <v>64837.127515244712</v>
      </c>
      <c r="E273" s="32">
        <f>IF(PaymentSchedule4[[#This Row],[PMT NO]]&lt;&gt;"",ScheduledPayment,"")</f>
        <v>760.02796473882097</v>
      </c>
      <c r="F27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7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73" s="32">
        <f>IF(PaymentSchedule4[[#This Row],[PMT NO]]&lt;&gt;"",PaymentSchedule4[[#This Row],[TOTAL PAYMENT]]-PaymentSchedule4[[#This Row],[INTEREST]],"")</f>
        <v>516.88873655665327</v>
      </c>
      <c r="I273" s="32">
        <f>IF(PaymentSchedule4[[#This Row],[PMT NO]]&lt;&gt;"",PaymentSchedule4[[#This Row],[BEGINNING BALANCE]]*(InterestRate/PaymentsPerYear),"")</f>
        <v>243.13922818216767</v>
      </c>
      <c r="J27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64320.238778688057</v>
      </c>
      <c r="K273" s="32">
        <f>IF(PaymentSchedule4[[#This Row],[PMT NO]]&lt;&gt;"",SUM(INDEX(PaymentSchedule4[INTEREST],1,1):PaymentSchedule4[[#This Row],[INTEREST]]),"")</f>
        <v>110407.45368130376</v>
      </c>
    </row>
    <row r="274" spans="2:11" x14ac:dyDescent="0.3">
      <c r="B274" s="30">
        <f>IF(LoanIsGood,IF(ROW()-ROW(PaymentSchedule4[[#Headers],[PMT NO]])&gt;ScheduledNumberOfPayments,"",ROW()-ROW(PaymentSchedule4[[#Headers],[PMT NO]])),"")</f>
        <v>259</v>
      </c>
      <c r="C274" s="31">
        <f>IF(PaymentSchedule4[[#This Row],[PMT NO]]&lt;&gt;"",EOMONTH(LoanStartDate,ROW(PaymentSchedule4[[#This Row],[PMT NO]])-ROW(PaymentSchedule4[[#Headers],[PMT NO]])-2)+DAY(LoanStartDate),"")</f>
        <v>51227</v>
      </c>
      <c r="D274" s="32">
        <f>IF(PaymentSchedule4[[#This Row],[PMT NO]]&lt;&gt;"",IF(ROW()-ROW(PaymentSchedule4[[#Headers],[BEGINNING BALANCE]])=1,LoanAmount,INDEX(PaymentSchedule4[ENDING BALANCE],ROW()-ROW(PaymentSchedule4[[#Headers],[BEGINNING BALANCE]])-1)),"")</f>
        <v>64320.238778688057</v>
      </c>
      <c r="E274" s="32">
        <f>IF(PaymentSchedule4[[#This Row],[PMT NO]]&lt;&gt;"",ScheduledPayment,"")</f>
        <v>760.02796473882097</v>
      </c>
      <c r="F27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7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74" s="32">
        <f>IF(PaymentSchedule4[[#This Row],[PMT NO]]&lt;&gt;"",PaymentSchedule4[[#This Row],[TOTAL PAYMENT]]-PaymentSchedule4[[#This Row],[INTEREST]],"")</f>
        <v>518.82706931874077</v>
      </c>
      <c r="I274" s="32">
        <f>IF(PaymentSchedule4[[#This Row],[PMT NO]]&lt;&gt;"",PaymentSchedule4[[#This Row],[BEGINNING BALANCE]]*(InterestRate/PaymentsPerYear),"")</f>
        <v>241.2008954200802</v>
      </c>
      <c r="J27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63801.411709369313</v>
      </c>
      <c r="K274" s="32">
        <f>IF(PaymentSchedule4[[#This Row],[PMT NO]]&lt;&gt;"",SUM(INDEX(PaymentSchedule4[INTEREST],1,1):PaymentSchedule4[[#This Row],[INTEREST]]),"")</f>
        <v>110648.65457672384</v>
      </c>
    </row>
    <row r="275" spans="2:11" x14ac:dyDescent="0.3">
      <c r="B275" s="30">
        <f>IF(LoanIsGood,IF(ROW()-ROW(PaymentSchedule4[[#Headers],[PMT NO]])&gt;ScheduledNumberOfPayments,"",ROW()-ROW(PaymentSchedule4[[#Headers],[PMT NO]])),"")</f>
        <v>260</v>
      </c>
      <c r="C275" s="31">
        <f>IF(PaymentSchedule4[[#This Row],[PMT NO]]&lt;&gt;"",EOMONTH(LoanStartDate,ROW(PaymentSchedule4[[#This Row],[PMT NO]])-ROW(PaymentSchedule4[[#Headers],[PMT NO]])-2)+DAY(LoanStartDate),"")</f>
        <v>51257</v>
      </c>
      <c r="D275" s="32">
        <f>IF(PaymentSchedule4[[#This Row],[PMT NO]]&lt;&gt;"",IF(ROW()-ROW(PaymentSchedule4[[#Headers],[BEGINNING BALANCE]])=1,LoanAmount,INDEX(PaymentSchedule4[ENDING BALANCE],ROW()-ROW(PaymentSchedule4[[#Headers],[BEGINNING BALANCE]])-1)),"")</f>
        <v>63801.411709369313</v>
      </c>
      <c r="E275" s="32">
        <f>IF(PaymentSchedule4[[#This Row],[PMT NO]]&lt;&gt;"",ScheduledPayment,"")</f>
        <v>760.02796473882097</v>
      </c>
      <c r="F27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7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75" s="32">
        <f>IF(PaymentSchedule4[[#This Row],[PMT NO]]&lt;&gt;"",PaymentSchedule4[[#This Row],[TOTAL PAYMENT]]-PaymentSchedule4[[#This Row],[INTEREST]],"")</f>
        <v>520.77267082868605</v>
      </c>
      <c r="I275" s="32">
        <f>IF(PaymentSchedule4[[#This Row],[PMT NO]]&lt;&gt;"",PaymentSchedule4[[#This Row],[BEGINNING BALANCE]]*(InterestRate/PaymentsPerYear),"")</f>
        <v>239.25529391013492</v>
      </c>
      <c r="J27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63280.639038540627</v>
      </c>
      <c r="K275" s="32">
        <f>IF(PaymentSchedule4[[#This Row],[PMT NO]]&lt;&gt;"",SUM(INDEX(PaymentSchedule4[INTEREST],1,1):PaymentSchedule4[[#This Row],[INTEREST]]),"")</f>
        <v>110887.90987063397</v>
      </c>
    </row>
    <row r="276" spans="2:11" x14ac:dyDescent="0.3">
      <c r="B276" s="30">
        <f>IF(LoanIsGood,IF(ROW()-ROW(PaymentSchedule4[[#Headers],[PMT NO]])&gt;ScheduledNumberOfPayments,"",ROW()-ROW(PaymentSchedule4[[#Headers],[PMT NO]])),"")</f>
        <v>261</v>
      </c>
      <c r="C276" s="31">
        <f>IF(PaymentSchedule4[[#This Row],[PMT NO]]&lt;&gt;"",EOMONTH(LoanStartDate,ROW(PaymentSchedule4[[#This Row],[PMT NO]])-ROW(PaymentSchedule4[[#Headers],[PMT NO]])-2)+DAY(LoanStartDate),"")</f>
        <v>51288</v>
      </c>
      <c r="D276" s="32">
        <f>IF(PaymentSchedule4[[#This Row],[PMT NO]]&lt;&gt;"",IF(ROW()-ROW(PaymentSchedule4[[#Headers],[BEGINNING BALANCE]])=1,LoanAmount,INDEX(PaymentSchedule4[ENDING BALANCE],ROW()-ROW(PaymentSchedule4[[#Headers],[BEGINNING BALANCE]])-1)),"")</f>
        <v>63280.639038540627</v>
      </c>
      <c r="E276" s="32">
        <f>IF(PaymentSchedule4[[#This Row],[PMT NO]]&lt;&gt;"",ScheduledPayment,"")</f>
        <v>760.02796473882097</v>
      </c>
      <c r="F27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7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76" s="32">
        <f>IF(PaymentSchedule4[[#This Row],[PMT NO]]&lt;&gt;"",PaymentSchedule4[[#This Row],[TOTAL PAYMENT]]-PaymentSchedule4[[#This Row],[INTEREST]],"")</f>
        <v>522.72556834429361</v>
      </c>
      <c r="I276" s="32">
        <f>IF(PaymentSchedule4[[#This Row],[PMT NO]]&lt;&gt;"",PaymentSchedule4[[#This Row],[BEGINNING BALANCE]]*(InterestRate/PaymentsPerYear),"")</f>
        <v>237.30239639452734</v>
      </c>
      <c r="J27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62757.913470196334</v>
      </c>
      <c r="K276" s="32">
        <f>IF(PaymentSchedule4[[#This Row],[PMT NO]]&lt;&gt;"",SUM(INDEX(PaymentSchedule4[INTEREST],1,1):PaymentSchedule4[[#This Row],[INTEREST]]),"")</f>
        <v>111125.2122670285</v>
      </c>
    </row>
    <row r="277" spans="2:11" x14ac:dyDescent="0.3">
      <c r="B277" s="30">
        <f>IF(LoanIsGood,IF(ROW()-ROW(PaymentSchedule4[[#Headers],[PMT NO]])&gt;ScheduledNumberOfPayments,"",ROW()-ROW(PaymentSchedule4[[#Headers],[PMT NO]])),"")</f>
        <v>262</v>
      </c>
      <c r="C277" s="31">
        <f>IF(PaymentSchedule4[[#This Row],[PMT NO]]&lt;&gt;"",EOMONTH(LoanStartDate,ROW(PaymentSchedule4[[#This Row],[PMT NO]])-ROW(PaymentSchedule4[[#Headers],[PMT NO]])-2)+DAY(LoanStartDate),"")</f>
        <v>51318</v>
      </c>
      <c r="D277" s="32">
        <f>IF(PaymentSchedule4[[#This Row],[PMT NO]]&lt;&gt;"",IF(ROW()-ROW(PaymentSchedule4[[#Headers],[BEGINNING BALANCE]])=1,LoanAmount,INDEX(PaymentSchedule4[ENDING BALANCE],ROW()-ROW(PaymentSchedule4[[#Headers],[BEGINNING BALANCE]])-1)),"")</f>
        <v>62757.913470196334</v>
      </c>
      <c r="E277" s="32">
        <f>IF(PaymentSchedule4[[#This Row],[PMT NO]]&lt;&gt;"",ScheduledPayment,"")</f>
        <v>760.02796473882097</v>
      </c>
      <c r="F27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7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77" s="32">
        <f>IF(PaymentSchedule4[[#This Row],[PMT NO]]&lt;&gt;"",PaymentSchedule4[[#This Row],[TOTAL PAYMENT]]-PaymentSchedule4[[#This Row],[INTEREST]],"")</f>
        <v>524.6857892255847</v>
      </c>
      <c r="I277" s="32">
        <f>IF(PaymentSchedule4[[#This Row],[PMT NO]]&lt;&gt;"",PaymentSchedule4[[#This Row],[BEGINNING BALANCE]]*(InterestRate/PaymentsPerYear),"")</f>
        <v>235.34217551323624</v>
      </c>
      <c r="J27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62233.227680970747</v>
      </c>
      <c r="K277" s="32">
        <f>IF(PaymentSchedule4[[#This Row],[PMT NO]]&lt;&gt;"",SUM(INDEX(PaymentSchedule4[INTEREST],1,1):PaymentSchedule4[[#This Row],[INTEREST]]),"")</f>
        <v>111360.55444254173</v>
      </c>
    </row>
    <row r="278" spans="2:11" x14ac:dyDescent="0.3">
      <c r="B278" s="30">
        <f>IF(LoanIsGood,IF(ROW()-ROW(PaymentSchedule4[[#Headers],[PMT NO]])&gt;ScheduledNumberOfPayments,"",ROW()-ROW(PaymentSchedule4[[#Headers],[PMT NO]])),"")</f>
        <v>263</v>
      </c>
      <c r="C278" s="31">
        <f>IF(PaymentSchedule4[[#This Row],[PMT NO]]&lt;&gt;"",EOMONTH(LoanStartDate,ROW(PaymentSchedule4[[#This Row],[PMT NO]])-ROW(PaymentSchedule4[[#Headers],[PMT NO]])-2)+DAY(LoanStartDate),"")</f>
        <v>51349</v>
      </c>
      <c r="D278" s="32">
        <f>IF(PaymentSchedule4[[#This Row],[PMT NO]]&lt;&gt;"",IF(ROW()-ROW(PaymentSchedule4[[#Headers],[BEGINNING BALANCE]])=1,LoanAmount,INDEX(PaymentSchedule4[ENDING BALANCE],ROW()-ROW(PaymentSchedule4[[#Headers],[BEGINNING BALANCE]])-1)),"")</f>
        <v>62233.227680970747</v>
      </c>
      <c r="E278" s="32">
        <f>IF(PaymentSchedule4[[#This Row],[PMT NO]]&lt;&gt;"",ScheduledPayment,"")</f>
        <v>760.02796473882097</v>
      </c>
      <c r="F27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7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78" s="32">
        <f>IF(PaymentSchedule4[[#This Row],[PMT NO]]&lt;&gt;"",PaymentSchedule4[[#This Row],[TOTAL PAYMENT]]-PaymentSchedule4[[#This Row],[INTEREST]],"")</f>
        <v>526.65336093518067</v>
      </c>
      <c r="I278" s="32">
        <f>IF(PaymentSchedule4[[#This Row],[PMT NO]]&lt;&gt;"",PaymentSchedule4[[#This Row],[BEGINNING BALANCE]]*(InterestRate/PaymentsPerYear),"")</f>
        <v>233.3746038036403</v>
      </c>
      <c r="J27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61706.574320035565</v>
      </c>
      <c r="K278" s="32">
        <f>IF(PaymentSchedule4[[#This Row],[PMT NO]]&lt;&gt;"",SUM(INDEX(PaymentSchedule4[INTEREST],1,1):PaymentSchedule4[[#This Row],[INTEREST]]),"")</f>
        <v>111593.92904634537</v>
      </c>
    </row>
    <row r="279" spans="2:11" x14ac:dyDescent="0.3">
      <c r="B279" s="30">
        <f>IF(LoanIsGood,IF(ROW()-ROW(PaymentSchedule4[[#Headers],[PMT NO]])&gt;ScheduledNumberOfPayments,"",ROW()-ROW(PaymentSchedule4[[#Headers],[PMT NO]])),"")</f>
        <v>264</v>
      </c>
      <c r="C279" s="31">
        <f>IF(PaymentSchedule4[[#This Row],[PMT NO]]&lt;&gt;"",EOMONTH(LoanStartDate,ROW(PaymentSchedule4[[#This Row],[PMT NO]])-ROW(PaymentSchedule4[[#Headers],[PMT NO]])-2)+DAY(LoanStartDate),"")</f>
        <v>51380</v>
      </c>
      <c r="D279" s="32">
        <f>IF(PaymentSchedule4[[#This Row],[PMT NO]]&lt;&gt;"",IF(ROW()-ROW(PaymentSchedule4[[#Headers],[BEGINNING BALANCE]])=1,LoanAmount,INDEX(PaymentSchedule4[ENDING BALANCE],ROW()-ROW(PaymentSchedule4[[#Headers],[BEGINNING BALANCE]])-1)),"")</f>
        <v>61706.574320035565</v>
      </c>
      <c r="E279" s="32">
        <f>IF(PaymentSchedule4[[#This Row],[PMT NO]]&lt;&gt;"",ScheduledPayment,"")</f>
        <v>760.02796473882097</v>
      </c>
      <c r="F27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7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79" s="32">
        <f>IF(PaymentSchedule4[[#This Row],[PMT NO]]&lt;&gt;"",PaymentSchedule4[[#This Row],[TOTAL PAYMENT]]-PaymentSchedule4[[#This Row],[INTEREST]],"")</f>
        <v>528.62831103868757</v>
      </c>
      <c r="I279" s="32">
        <f>IF(PaymentSchedule4[[#This Row],[PMT NO]]&lt;&gt;"",PaymentSchedule4[[#This Row],[BEGINNING BALANCE]]*(InterestRate/PaymentsPerYear),"")</f>
        <v>231.39965370013337</v>
      </c>
      <c r="J27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61177.946008996878</v>
      </c>
      <c r="K279" s="32">
        <f>IF(PaymentSchedule4[[#This Row],[PMT NO]]&lt;&gt;"",SUM(INDEX(PaymentSchedule4[INTEREST],1,1):PaymentSchedule4[[#This Row],[INTEREST]]),"")</f>
        <v>111825.3287000455</v>
      </c>
    </row>
    <row r="280" spans="2:11" x14ac:dyDescent="0.3">
      <c r="B280" s="30">
        <f>IF(LoanIsGood,IF(ROW()-ROW(PaymentSchedule4[[#Headers],[PMT NO]])&gt;ScheduledNumberOfPayments,"",ROW()-ROW(PaymentSchedule4[[#Headers],[PMT NO]])),"")</f>
        <v>265</v>
      </c>
      <c r="C280" s="31">
        <f>IF(PaymentSchedule4[[#This Row],[PMT NO]]&lt;&gt;"",EOMONTH(LoanStartDate,ROW(PaymentSchedule4[[#This Row],[PMT NO]])-ROW(PaymentSchedule4[[#Headers],[PMT NO]])-2)+DAY(LoanStartDate),"")</f>
        <v>51410</v>
      </c>
      <c r="D280" s="32">
        <f>IF(PaymentSchedule4[[#This Row],[PMT NO]]&lt;&gt;"",IF(ROW()-ROW(PaymentSchedule4[[#Headers],[BEGINNING BALANCE]])=1,LoanAmount,INDEX(PaymentSchedule4[ENDING BALANCE],ROW()-ROW(PaymentSchedule4[[#Headers],[BEGINNING BALANCE]])-1)),"")</f>
        <v>61177.946008996878</v>
      </c>
      <c r="E280" s="32">
        <f>IF(PaymentSchedule4[[#This Row],[PMT NO]]&lt;&gt;"",ScheduledPayment,"")</f>
        <v>760.02796473882097</v>
      </c>
      <c r="F28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8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80" s="32">
        <f>IF(PaymentSchedule4[[#This Row],[PMT NO]]&lt;&gt;"",PaymentSchedule4[[#This Row],[TOTAL PAYMENT]]-PaymentSchedule4[[#This Row],[INTEREST]],"")</f>
        <v>530.61066720508268</v>
      </c>
      <c r="I280" s="32">
        <f>IF(PaymentSchedule4[[#This Row],[PMT NO]]&lt;&gt;"",PaymentSchedule4[[#This Row],[BEGINNING BALANCE]]*(InterestRate/PaymentsPerYear),"")</f>
        <v>229.41729753373829</v>
      </c>
      <c r="J28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60647.335341791797</v>
      </c>
      <c r="K280" s="32">
        <f>IF(PaymentSchedule4[[#This Row],[PMT NO]]&lt;&gt;"",SUM(INDEX(PaymentSchedule4[INTEREST],1,1):PaymentSchedule4[[#This Row],[INTEREST]]),"")</f>
        <v>112054.74599757924</v>
      </c>
    </row>
    <row r="281" spans="2:11" x14ac:dyDescent="0.3">
      <c r="B281" s="30">
        <f>IF(LoanIsGood,IF(ROW()-ROW(PaymentSchedule4[[#Headers],[PMT NO]])&gt;ScheduledNumberOfPayments,"",ROW()-ROW(PaymentSchedule4[[#Headers],[PMT NO]])),"")</f>
        <v>266</v>
      </c>
      <c r="C281" s="31">
        <f>IF(PaymentSchedule4[[#This Row],[PMT NO]]&lt;&gt;"",EOMONTH(LoanStartDate,ROW(PaymentSchedule4[[#This Row],[PMT NO]])-ROW(PaymentSchedule4[[#Headers],[PMT NO]])-2)+DAY(LoanStartDate),"")</f>
        <v>51441</v>
      </c>
      <c r="D281" s="32">
        <f>IF(PaymentSchedule4[[#This Row],[PMT NO]]&lt;&gt;"",IF(ROW()-ROW(PaymentSchedule4[[#Headers],[BEGINNING BALANCE]])=1,LoanAmount,INDEX(PaymentSchedule4[ENDING BALANCE],ROW()-ROW(PaymentSchedule4[[#Headers],[BEGINNING BALANCE]])-1)),"")</f>
        <v>60647.335341791797</v>
      </c>
      <c r="E281" s="32">
        <f>IF(PaymentSchedule4[[#This Row],[PMT NO]]&lt;&gt;"",ScheduledPayment,"")</f>
        <v>760.02796473882097</v>
      </c>
      <c r="F28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8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81" s="32">
        <f>IF(PaymentSchedule4[[#This Row],[PMT NO]]&lt;&gt;"",PaymentSchedule4[[#This Row],[TOTAL PAYMENT]]-PaymentSchedule4[[#This Row],[INTEREST]],"")</f>
        <v>532.60045720710173</v>
      </c>
      <c r="I281" s="32">
        <f>IF(PaymentSchedule4[[#This Row],[PMT NO]]&lt;&gt;"",PaymentSchedule4[[#This Row],[BEGINNING BALANCE]]*(InterestRate/PaymentsPerYear),"")</f>
        <v>227.42750753171924</v>
      </c>
      <c r="J28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60114.734884584694</v>
      </c>
      <c r="K281" s="32">
        <f>IF(PaymentSchedule4[[#This Row],[PMT NO]]&lt;&gt;"",SUM(INDEX(PaymentSchedule4[INTEREST],1,1):PaymentSchedule4[[#This Row],[INTEREST]]),"")</f>
        <v>112282.17350511096</v>
      </c>
    </row>
    <row r="282" spans="2:11" x14ac:dyDescent="0.3">
      <c r="B282" s="30">
        <f>IF(LoanIsGood,IF(ROW()-ROW(PaymentSchedule4[[#Headers],[PMT NO]])&gt;ScheduledNumberOfPayments,"",ROW()-ROW(PaymentSchedule4[[#Headers],[PMT NO]])),"")</f>
        <v>267</v>
      </c>
      <c r="C282" s="31">
        <f>IF(PaymentSchedule4[[#This Row],[PMT NO]]&lt;&gt;"",EOMONTH(LoanStartDate,ROW(PaymentSchedule4[[#This Row],[PMT NO]])-ROW(PaymentSchedule4[[#Headers],[PMT NO]])-2)+DAY(LoanStartDate),"")</f>
        <v>51471</v>
      </c>
      <c r="D282" s="32">
        <f>IF(PaymentSchedule4[[#This Row],[PMT NO]]&lt;&gt;"",IF(ROW()-ROW(PaymentSchedule4[[#Headers],[BEGINNING BALANCE]])=1,LoanAmount,INDEX(PaymentSchedule4[ENDING BALANCE],ROW()-ROW(PaymentSchedule4[[#Headers],[BEGINNING BALANCE]])-1)),"")</f>
        <v>60114.734884584694</v>
      </c>
      <c r="E282" s="32">
        <f>IF(PaymentSchedule4[[#This Row],[PMT NO]]&lt;&gt;"",ScheduledPayment,"")</f>
        <v>760.02796473882097</v>
      </c>
      <c r="F28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8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82" s="32">
        <f>IF(PaymentSchedule4[[#This Row],[PMT NO]]&lt;&gt;"",PaymentSchedule4[[#This Row],[TOTAL PAYMENT]]-PaymentSchedule4[[#This Row],[INTEREST]],"")</f>
        <v>534.5977089216284</v>
      </c>
      <c r="I282" s="32">
        <f>IF(PaymentSchedule4[[#This Row],[PMT NO]]&lt;&gt;"",PaymentSchedule4[[#This Row],[BEGINNING BALANCE]]*(InterestRate/PaymentsPerYear),"")</f>
        <v>225.4302558171926</v>
      </c>
      <c r="J28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59580.137175663069</v>
      </c>
      <c r="K282" s="32">
        <f>IF(PaymentSchedule4[[#This Row],[PMT NO]]&lt;&gt;"",SUM(INDEX(PaymentSchedule4[INTEREST],1,1):PaymentSchedule4[[#This Row],[INTEREST]]),"")</f>
        <v>112507.60376092815</v>
      </c>
    </row>
    <row r="283" spans="2:11" x14ac:dyDescent="0.3">
      <c r="B283" s="30">
        <f>IF(LoanIsGood,IF(ROW()-ROW(PaymentSchedule4[[#Headers],[PMT NO]])&gt;ScheduledNumberOfPayments,"",ROW()-ROW(PaymentSchedule4[[#Headers],[PMT NO]])),"")</f>
        <v>268</v>
      </c>
      <c r="C283" s="31">
        <f>IF(PaymentSchedule4[[#This Row],[PMT NO]]&lt;&gt;"",EOMONTH(LoanStartDate,ROW(PaymentSchedule4[[#This Row],[PMT NO]])-ROW(PaymentSchedule4[[#Headers],[PMT NO]])-2)+DAY(LoanStartDate),"")</f>
        <v>51502</v>
      </c>
      <c r="D283" s="32">
        <f>IF(PaymentSchedule4[[#This Row],[PMT NO]]&lt;&gt;"",IF(ROW()-ROW(PaymentSchedule4[[#Headers],[BEGINNING BALANCE]])=1,LoanAmount,INDEX(PaymentSchedule4[ENDING BALANCE],ROW()-ROW(PaymentSchedule4[[#Headers],[BEGINNING BALANCE]])-1)),"")</f>
        <v>59580.137175663069</v>
      </c>
      <c r="E283" s="32">
        <f>IF(PaymentSchedule4[[#This Row],[PMT NO]]&lt;&gt;"",ScheduledPayment,"")</f>
        <v>760.02796473882097</v>
      </c>
      <c r="F28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8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83" s="32">
        <f>IF(PaymentSchedule4[[#This Row],[PMT NO]]&lt;&gt;"",PaymentSchedule4[[#This Row],[TOTAL PAYMENT]]-PaymentSchedule4[[#This Row],[INTEREST]],"")</f>
        <v>536.60245033008448</v>
      </c>
      <c r="I283" s="32">
        <f>IF(PaymentSchedule4[[#This Row],[PMT NO]]&lt;&gt;"",PaymentSchedule4[[#This Row],[BEGINNING BALANCE]]*(InterestRate/PaymentsPerYear),"")</f>
        <v>223.42551440873649</v>
      </c>
      <c r="J28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59043.534725332982</v>
      </c>
      <c r="K283" s="32">
        <f>IF(PaymentSchedule4[[#This Row],[PMT NO]]&lt;&gt;"",SUM(INDEX(PaymentSchedule4[INTEREST],1,1):PaymentSchedule4[[#This Row],[INTEREST]]),"")</f>
        <v>112731.02927533688</v>
      </c>
    </row>
    <row r="284" spans="2:11" x14ac:dyDescent="0.3">
      <c r="B284" s="30">
        <f>IF(LoanIsGood,IF(ROW()-ROW(PaymentSchedule4[[#Headers],[PMT NO]])&gt;ScheduledNumberOfPayments,"",ROW()-ROW(PaymentSchedule4[[#Headers],[PMT NO]])),"")</f>
        <v>269</v>
      </c>
      <c r="C284" s="31">
        <f>IF(PaymentSchedule4[[#This Row],[PMT NO]]&lt;&gt;"",EOMONTH(LoanStartDate,ROW(PaymentSchedule4[[#This Row],[PMT NO]])-ROW(PaymentSchedule4[[#Headers],[PMT NO]])-2)+DAY(LoanStartDate),"")</f>
        <v>51533</v>
      </c>
      <c r="D284" s="32">
        <f>IF(PaymentSchedule4[[#This Row],[PMT NO]]&lt;&gt;"",IF(ROW()-ROW(PaymentSchedule4[[#Headers],[BEGINNING BALANCE]])=1,LoanAmount,INDEX(PaymentSchedule4[ENDING BALANCE],ROW()-ROW(PaymentSchedule4[[#Headers],[BEGINNING BALANCE]])-1)),"")</f>
        <v>59043.534725332982</v>
      </c>
      <c r="E284" s="32">
        <f>IF(PaymentSchedule4[[#This Row],[PMT NO]]&lt;&gt;"",ScheduledPayment,"")</f>
        <v>760.02796473882097</v>
      </c>
      <c r="F28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8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84" s="32">
        <f>IF(PaymentSchedule4[[#This Row],[PMT NO]]&lt;&gt;"",PaymentSchedule4[[#This Row],[TOTAL PAYMENT]]-PaymentSchedule4[[#This Row],[INTEREST]],"")</f>
        <v>538.61470951882234</v>
      </c>
      <c r="I284" s="32">
        <f>IF(PaymentSchedule4[[#This Row],[PMT NO]]&lt;&gt;"",PaymentSchedule4[[#This Row],[BEGINNING BALANCE]]*(InterestRate/PaymentsPerYear),"")</f>
        <v>221.41325521999866</v>
      </c>
      <c r="J28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58504.920015814161</v>
      </c>
      <c r="K284" s="32">
        <f>IF(PaymentSchedule4[[#This Row],[PMT NO]]&lt;&gt;"",SUM(INDEX(PaymentSchedule4[INTEREST],1,1):PaymentSchedule4[[#This Row],[INTEREST]]),"")</f>
        <v>112952.44253055689</v>
      </c>
    </row>
    <row r="285" spans="2:11" x14ac:dyDescent="0.3">
      <c r="B285" s="30">
        <f>IF(LoanIsGood,IF(ROW()-ROW(PaymentSchedule4[[#Headers],[PMT NO]])&gt;ScheduledNumberOfPayments,"",ROW()-ROW(PaymentSchedule4[[#Headers],[PMT NO]])),"")</f>
        <v>270</v>
      </c>
      <c r="C285" s="31">
        <f>IF(PaymentSchedule4[[#This Row],[PMT NO]]&lt;&gt;"",EOMONTH(LoanStartDate,ROW(PaymentSchedule4[[#This Row],[PMT NO]])-ROW(PaymentSchedule4[[#Headers],[PMT NO]])-2)+DAY(LoanStartDate),"")</f>
        <v>51561</v>
      </c>
      <c r="D285" s="32">
        <f>IF(PaymentSchedule4[[#This Row],[PMT NO]]&lt;&gt;"",IF(ROW()-ROW(PaymentSchedule4[[#Headers],[BEGINNING BALANCE]])=1,LoanAmount,INDEX(PaymentSchedule4[ENDING BALANCE],ROW()-ROW(PaymentSchedule4[[#Headers],[BEGINNING BALANCE]])-1)),"")</f>
        <v>58504.920015814161</v>
      </c>
      <c r="E285" s="32">
        <f>IF(PaymentSchedule4[[#This Row],[PMT NO]]&lt;&gt;"",ScheduledPayment,"")</f>
        <v>760.02796473882097</v>
      </c>
      <c r="F28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8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85" s="32">
        <f>IF(PaymentSchedule4[[#This Row],[PMT NO]]&lt;&gt;"",PaymentSchedule4[[#This Row],[TOTAL PAYMENT]]-PaymentSchedule4[[#This Row],[INTEREST]],"")</f>
        <v>540.63451467951791</v>
      </c>
      <c r="I285" s="32">
        <f>IF(PaymentSchedule4[[#This Row],[PMT NO]]&lt;&gt;"",PaymentSchedule4[[#This Row],[BEGINNING BALANCE]]*(InterestRate/PaymentsPerYear),"")</f>
        <v>219.39345005930309</v>
      </c>
      <c r="J28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57964.28550113464</v>
      </c>
      <c r="K285" s="32">
        <f>IF(PaymentSchedule4[[#This Row],[PMT NO]]&lt;&gt;"",SUM(INDEX(PaymentSchedule4[INTEREST],1,1):PaymentSchedule4[[#This Row],[INTEREST]]),"")</f>
        <v>113171.83598061619</v>
      </c>
    </row>
    <row r="286" spans="2:11" x14ac:dyDescent="0.3">
      <c r="B286" s="30">
        <f>IF(LoanIsGood,IF(ROW()-ROW(PaymentSchedule4[[#Headers],[PMT NO]])&gt;ScheduledNumberOfPayments,"",ROW()-ROW(PaymentSchedule4[[#Headers],[PMT NO]])),"")</f>
        <v>271</v>
      </c>
      <c r="C286" s="31">
        <f>IF(PaymentSchedule4[[#This Row],[PMT NO]]&lt;&gt;"",EOMONTH(LoanStartDate,ROW(PaymentSchedule4[[#This Row],[PMT NO]])-ROW(PaymentSchedule4[[#Headers],[PMT NO]])-2)+DAY(LoanStartDate),"")</f>
        <v>51592</v>
      </c>
      <c r="D286" s="32">
        <f>IF(PaymentSchedule4[[#This Row],[PMT NO]]&lt;&gt;"",IF(ROW()-ROW(PaymentSchedule4[[#Headers],[BEGINNING BALANCE]])=1,LoanAmount,INDEX(PaymentSchedule4[ENDING BALANCE],ROW()-ROW(PaymentSchedule4[[#Headers],[BEGINNING BALANCE]])-1)),"")</f>
        <v>57964.28550113464</v>
      </c>
      <c r="E286" s="32">
        <f>IF(PaymentSchedule4[[#This Row],[PMT NO]]&lt;&gt;"",ScheduledPayment,"")</f>
        <v>760.02796473882097</v>
      </c>
      <c r="F28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8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86" s="32">
        <f>IF(PaymentSchedule4[[#This Row],[PMT NO]]&lt;&gt;"",PaymentSchedule4[[#This Row],[TOTAL PAYMENT]]-PaymentSchedule4[[#This Row],[INTEREST]],"")</f>
        <v>542.66189410956611</v>
      </c>
      <c r="I286" s="32">
        <f>IF(PaymentSchedule4[[#This Row],[PMT NO]]&lt;&gt;"",PaymentSchedule4[[#This Row],[BEGINNING BALANCE]]*(InterestRate/PaymentsPerYear),"")</f>
        <v>217.36607062925489</v>
      </c>
      <c r="J28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57421.623607025074</v>
      </c>
      <c r="K286" s="32">
        <f>IF(PaymentSchedule4[[#This Row],[PMT NO]]&lt;&gt;"",SUM(INDEX(PaymentSchedule4[INTEREST],1,1):PaymentSchedule4[[#This Row],[INTEREST]]),"")</f>
        <v>113389.20205124545</v>
      </c>
    </row>
    <row r="287" spans="2:11" x14ac:dyDescent="0.3">
      <c r="B287" s="30">
        <f>IF(LoanIsGood,IF(ROW()-ROW(PaymentSchedule4[[#Headers],[PMT NO]])&gt;ScheduledNumberOfPayments,"",ROW()-ROW(PaymentSchedule4[[#Headers],[PMT NO]])),"")</f>
        <v>272</v>
      </c>
      <c r="C287" s="31">
        <f>IF(PaymentSchedule4[[#This Row],[PMT NO]]&lt;&gt;"",EOMONTH(LoanStartDate,ROW(PaymentSchedule4[[#This Row],[PMT NO]])-ROW(PaymentSchedule4[[#Headers],[PMT NO]])-2)+DAY(LoanStartDate),"")</f>
        <v>51622</v>
      </c>
      <c r="D287" s="32">
        <f>IF(PaymentSchedule4[[#This Row],[PMT NO]]&lt;&gt;"",IF(ROW()-ROW(PaymentSchedule4[[#Headers],[BEGINNING BALANCE]])=1,LoanAmount,INDEX(PaymentSchedule4[ENDING BALANCE],ROW()-ROW(PaymentSchedule4[[#Headers],[BEGINNING BALANCE]])-1)),"")</f>
        <v>57421.623607025074</v>
      </c>
      <c r="E287" s="32">
        <f>IF(PaymentSchedule4[[#This Row],[PMT NO]]&lt;&gt;"",ScheduledPayment,"")</f>
        <v>760.02796473882097</v>
      </c>
      <c r="F28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8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87" s="32">
        <f>IF(PaymentSchedule4[[#This Row],[PMT NO]]&lt;&gt;"",PaymentSchedule4[[#This Row],[TOTAL PAYMENT]]-PaymentSchedule4[[#This Row],[INTEREST]],"")</f>
        <v>544.69687621247692</v>
      </c>
      <c r="I287" s="32">
        <f>IF(PaymentSchedule4[[#This Row],[PMT NO]]&lt;&gt;"",PaymentSchedule4[[#This Row],[BEGINNING BALANCE]]*(InterestRate/PaymentsPerYear),"")</f>
        <v>215.33108852634402</v>
      </c>
      <c r="J28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56876.9267308126</v>
      </c>
      <c r="K287" s="32">
        <f>IF(PaymentSchedule4[[#This Row],[PMT NO]]&lt;&gt;"",SUM(INDEX(PaymentSchedule4[INTEREST],1,1):PaymentSchedule4[[#This Row],[INTEREST]]),"")</f>
        <v>113604.5331397718</v>
      </c>
    </row>
    <row r="288" spans="2:11" x14ac:dyDescent="0.3">
      <c r="B288" s="30">
        <f>IF(LoanIsGood,IF(ROW()-ROW(PaymentSchedule4[[#Headers],[PMT NO]])&gt;ScheduledNumberOfPayments,"",ROW()-ROW(PaymentSchedule4[[#Headers],[PMT NO]])),"")</f>
        <v>273</v>
      </c>
      <c r="C288" s="31">
        <f>IF(PaymentSchedule4[[#This Row],[PMT NO]]&lt;&gt;"",EOMONTH(LoanStartDate,ROW(PaymentSchedule4[[#This Row],[PMT NO]])-ROW(PaymentSchedule4[[#Headers],[PMT NO]])-2)+DAY(LoanStartDate),"")</f>
        <v>51653</v>
      </c>
      <c r="D288" s="32">
        <f>IF(PaymentSchedule4[[#This Row],[PMT NO]]&lt;&gt;"",IF(ROW()-ROW(PaymentSchedule4[[#Headers],[BEGINNING BALANCE]])=1,LoanAmount,INDEX(PaymentSchedule4[ENDING BALANCE],ROW()-ROW(PaymentSchedule4[[#Headers],[BEGINNING BALANCE]])-1)),"")</f>
        <v>56876.9267308126</v>
      </c>
      <c r="E288" s="32">
        <f>IF(PaymentSchedule4[[#This Row],[PMT NO]]&lt;&gt;"",ScheduledPayment,"")</f>
        <v>760.02796473882097</v>
      </c>
      <c r="F28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8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88" s="32">
        <f>IF(PaymentSchedule4[[#This Row],[PMT NO]]&lt;&gt;"",PaymentSchedule4[[#This Row],[TOTAL PAYMENT]]-PaymentSchedule4[[#This Row],[INTEREST]],"")</f>
        <v>546.73948949827377</v>
      </c>
      <c r="I288" s="32">
        <f>IF(PaymentSchedule4[[#This Row],[PMT NO]]&lt;&gt;"",PaymentSchedule4[[#This Row],[BEGINNING BALANCE]]*(InterestRate/PaymentsPerYear),"")</f>
        <v>213.28847524054723</v>
      </c>
      <c r="J28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56330.187241314328</v>
      </c>
      <c r="K288" s="32">
        <f>IF(PaymentSchedule4[[#This Row],[PMT NO]]&lt;&gt;"",SUM(INDEX(PaymentSchedule4[INTEREST],1,1):PaymentSchedule4[[#This Row],[INTEREST]]),"")</f>
        <v>113817.82161501235</v>
      </c>
    </row>
    <row r="289" spans="2:11" x14ac:dyDescent="0.3">
      <c r="B289" s="30">
        <f>IF(LoanIsGood,IF(ROW()-ROW(PaymentSchedule4[[#Headers],[PMT NO]])&gt;ScheduledNumberOfPayments,"",ROW()-ROW(PaymentSchedule4[[#Headers],[PMT NO]])),"")</f>
        <v>274</v>
      </c>
      <c r="C289" s="31">
        <f>IF(PaymentSchedule4[[#This Row],[PMT NO]]&lt;&gt;"",EOMONTH(LoanStartDate,ROW(PaymentSchedule4[[#This Row],[PMT NO]])-ROW(PaymentSchedule4[[#Headers],[PMT NO]])-2)+DAY(LoanStartDate),"")</f>
        <v>51683</v>
      </c>
      <c r="D289" s="32">
        <f>IF(PaymentSchedule4[[#This Row],[PMT NO]]&lt;&gt;"",IF(ROW()-ROW(PaymentSchedule4[[#Headers],[BEGINNING BALANCE]])=1,LoanAmount,INDEX(PaymentSchedule4[ENDING BALANCE],ROW()-ROW(PaymentSchedule4[[#Headers],[BEGINNING BALANCE]])-1)),"")</f>
        <v>56330.187241314328</v>
      </c>
      <c r="E289" s="32">
        <f>IF(PaymentSchedule4[[#This Row],[PMT NO]]&lt;&gt;"",ScheduledPayment,"")</f>
        <v>760.02796473882097</v>
      </c>
      <c r="F28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8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89" s="32">
        <f>IF(PaymentSchedule4[[#This Row],[PMT NO]]&lt;&gt;"",PaymentSchedule4[[#This Row],[TOTAL PAYMENT]]-PaymentSchedule4[[#This Row],[INTEREST]],"")</f>
        <v>548.7897625838923</v>
      </c>
      <c r="I289" s="32">
        <f>IF(PaymentSchedule4[[#This Row],[PMT NO]]&lt;&gt;"",PaymentSchedule4[[#This Row],[BEGINNING BALANCE]]*(InterestRate/PaymentsPerYear),"")</f>
        <v>211.23820215492873</v>
      </c>
      <c r="J28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55781.397478730432</v>
      </c>
      <c r="K289" s="32">
        <f>IF(PaymentSchedule4[[#This Row],[PMT NO]]&lt;&gt;"",SUM(INDEX(PaymentSchedule4[INTEREST],1,1):PaymentSchedule4[[#This Row],[INTEREST]]),"")</f>
        <v>114029.05981716728</v>
      </c>
    </row>
    <row r="290" spans="2:11" x14ac:dyDescent="0.3">
      <c r="B290" s="30">
        <f>IF(LoanIsGood,IF(ROW()-ROW(PaymentSchedule4[[#Headers],[PMT NO]])&gt;ScheduledNumberOfPayments,"",ROW()-ROW(PaymentSchedule4[[#Headers],[PMT NO]])),"")</f>
        <v>275</v>
      </c>
      <c r="C290" s="31">
        <f>IF(PaymentSchedule4[[#This Row],[PMT NO]]&lt;&gt;"",EOMONTH(LoanStartDate,ROW(PaymentSchedule4[[#This Row],[PMT NO]])-ROW(PaymentSchedule4[[#Headers],[PMT NO]])-2)+DAY(LoanStartDate),"")</f>
        <v>51714</v>
      </c>
      <c r="D290" s="32">
        <f>IF(PaymentSchedule4[[#This Row],[PMT NO]]&lt;&gt;"",IF(ROW()-ROW(PaymentSchedule4[[#Headers],[BEGINNING BALANCE]])=1,LoanAmount,INDEX(PaymentSchedule4[ENDING BALANCE],ROW()-ROW(PaymentSchedule4[[#Headers],[BEGINNING BALANCE]])-1)),"")</f>
        <v>55781.397478730432</v>
      </c>
      <c r="E290" s="32">
        <f>IF(PaymentSchedule4[[#This Row],[PMT NO]]&lt;&gt;"",ScheduledPayment,"")</f>
        <v>760.02796473882097</v>
      </c>
      <c r="F29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9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90" s="32">
        <f>IF(PaymentSchedule4[[#This Row],[PMT NO]]&lt;&gt;"",PaymentSchedule4[[#This Row],[TOTAL PAYMENT]]-PaymentSchedule4[[#This Row],[INTEREST]],"")</f>
        <v>550.84772419358183</v>
      </c>
      <c r="I290" s="32">
        <f>IF(PaymentSchedule4[[#This Row],[PMT NO]]&lt;&gt;"",PaymentSchedule4[[#This Row],[BEGINNING BALANCE]]*(InterestRate/PaymentsPerYear),"")</f>
        <v>209.18024054523912</v>
      </c>
      <c r="J29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55230.549754536849</v>
      </c>
      <c r="K290" s="32">
        <f>IF(PaymentSchedule4[[#This Row],[PMT NO]]&lt;&gt;"",SUM(INDEX(PaymentSchedule4[INTEREST],1,1):PaymentSchedule4[[#This Row],[INTEREST]]),"")</f>
        <v>114238.24005771251</v>
      </c>
    </row>
    <row r="291" spans="2:11" x14ac:dyDescent="0.3">
      <c r="B291" s="30">
        <f>IF(LoanIsGood,IF(ROW()-ROW(PaymentSchedule4[[#Headers],[PMT NO]])&gt;ScheduledNumberOfPayments,"",ROW()-ROW(PaymentSchedule4[[#Headers],[PMT NO]])),"")</f>
        <v>276</v>
      </c>
      <c r="C291" s="31">
        <f>IF(PaymentSchedule4[[#This Row],[PMT NO]]&lt;&gt;"",EOMONTH(LoanStartDate,ROW(PaymentSchedule4[[#This Row],[PMT NO]])-ROW(PaymentSchedule4[[#Headers],[PMT NO]])-2)+DAY(LoanStartDate),"")</f>
        <v>51745</v>
      </c>
      <c r="D291" s="32">
        <f>IF(PaymentSchedule4[[#This Row],[PMT NO]]&lt;&gt;"",IF(ROW()-ROW(PaymentSchedule4[[#Headers],[BEGINNING BALANCE]])=1,LoanAmount,INDEX(PaymentSchedule4[ENDING BALANCE],ROW()-ROW(PaymentSchedule4[[#Headers],[BEGINNING BALANCE]])-1)),"")</f>
        <v>55230.549754536849</v>
      </c>
      <c r="E291" s="32">
        <f>IF(PaymentSchedule4[[#This Row],[PMT NO]]&lt;&gt;"",ScheduledPayment,"")</f>
        <v>760.02796473882097</v>
      </c>
      <c r="F29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9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91" s="32">
        <f>IF(PaymentSchedule4[[#This Row],[PMT NO]]&lt;&gt;"",PaymentSchedule4[[#This Row],[TOTAL PAYMENT]]-PaymentSchedule4[[#This Row],[INTEREST]],"")</f>
        <v>552.91340315930779</v>
      </c>
      <c r="I291" s="32">
        <f>IF(PaymentSchedule4[[#This Row],[PMT NO]]&lt;&gt;"",PaymentSchedule4[[#This Row],[BEGINNING BALANCE]]*(InterestRate/PaymentsPerYear),"")</f>
        <v>207.11456157951318</v>
      </c>
      <c r="J29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54677.636351377543</v>
      </c>
      <c r="K291" s="32">
        <f>IF(PaymentSchedule4[[#This Row],[PMT NO]]&lt;&gt;"",SUM(INDEX(PaymentSchedule4[INTEREST],1,1):PaymentSchedule4[[#This Row],[INTEREST]]),"")</f>
        <v>114445.35461929202</v>
      </c>
    </row>
    <row r="292" spans="2:11" x14ac:dyDescent="0.3">
      <c r="B292" s="30">
        <f>IF(LoanIsGood,IF(ROW()-ROW(PaymentSchedule4[[#Headers],[PMT NO]])&gt;ScheduledNumberOfPayments,"",ROW()-ROW(PaymentSchedule4[[#Headers],[PMT NO]])),"")</f>
        <v>277</v>
      </c>
      <c r="C292" s="31">
        <f>IF(PaymentSchedule4[[#This Row],[PMT NO]]&lt;&gt;"",EOMONTH(LoanStartDate,ROW(PaymentSchedule4[[#This Row],[PMT NO]])-ROW(PaymentSchedule4[[#Headers],[PMT NO]])-2)+DAY(LoanStartDate),"")</f>
        <v>51775</v>
      </c>
      <c r="D292" s="32">
        <f>IF(PaymentSchedule4[[#This Row],[PMT NO]]&lt;&gt;"",IF(ROW()-ROW(PaymentSchedule4[[#Headers],[BEGINNING BALANCE]])=1,LoanAmount,INDEX(PaymentSchedule4[ENDING BALANCE],ROW()-ROW(PaymentSchedule4[[#Headers],[BEGINNING BALANCE]])-1)),"")</f>
        <v>54677.636351377543</v>
      </c>
      <c r="E292" s="32">
        <f>IF(PaymentSchedule4[[#This Row],[PMT NO]]&lt;&gt;"",ScheduledPayment,"")</f>
        <v>760.02796473882097</v>
      </c>
      <c r="F29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9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92" s="32">
        <f>IF(PaymentSchedule4[[#This Row],[PMT NO]]&lt;&gt;"",PaymentSchedule4[[#This Row],[TOTAL PAYMENT]]-PaymentSchedule4[[#This Row],[INTEREST]],"")</f>
        <v>554.98682842115522</v>
      </c>
      <c r="I292" s="32">
        <f>IF(PaymentSchedule4[[#This Row],[PMT NO]]&lt;&gt;"",PaymentSchedule4[[#This Row],[BEGINNING BALANCE]]*(InterestRate/PaymentsPerYear),"")</f>
        <v>205.04113631766577</v>
      </c>
      <c r="J29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54122.649522956388</v>
      </c>
      <c r="K292" s="32">
        <f>IF(PaymentSchedule4[[#This Row],[PMT NO]]&lt;&gt;"",SUM(INDEX(PaymentSchedule4[INTEREST],1,1):PaymentSchedule4[[#This Row],[INTEREST]]),"")</f>
        <v>114650.39575560969</v>
      </c>
    </row>
    <row r="293" spans="2:11" x14ac:dyDescent="0.3">
      <c r="B293" s="30">
        <f>IF(LoanIsGood,IF(ROW()-ROW(PaymentSchedule4[[#Headers],[PMT NO]])&gt;ScheduledNumberOfPayments,"",ROW()-ROW(PaymentSchedule4[[#Headers],[PMT NO]])),"")</f>
        <v>278</v>
      </c>
      <c r="C293" s="31">
        <f>IF(PaymentSchedule4[[#This Row],[PMT NO]]&lt;&gt;"",EOMONTH(LoanStartDate,ROW(PaymentSchedule4[[#This Row],[PMT NO]])-ROW(PaymentSchedule4[[#Headers],[PMT NO]])-2)+DAY(LoanStartDate),"")</f>
        <v>51806</v>
      </c>
      <c r="D293" s="32">
        <f>IF(PaymentSchedule4[[#This Row],[PMT NO]]&lt;&gt;"",IF(ROW()-ROW(PaymentSchedule4[[#Headers],[BEGINNING BALANCE]])=1,LoanAmount,INDEX(PaymentSchedule4[ENDING BALANCE],ROW()-ROW(PaymentSchedule4[[#Headers],[BEGINNING BALANCE]])-1)),"")</f>
        <v>54122.649522956388</v>
      </c>
      <c r="E293" s="32">
        <f>IF(PaymentSchedule4[[#This Row],[PMT NO]]&lt;&gt;"",ScheduledPayment,"")</f>
        <v>760.02796473882097</v>
      </c>
      <c r="F29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9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93" s="32">
        <f>IF(PaymentSchedule4[[#This Row],[PMT NO]]&lt;&gt;"",PaymentSchedule4[[#This Row],[TOTAL PAYMENT]]-PaymentSchedule4[[#This Row],[INTEREST]],"")</f>
        <v>557.0680290277345</v>
      </c>
      <c r="I293" s="32">
        <f>IF(PaymentSchedule4[[#This Row],[PMT NO]]&lt;&gt;"",PaymentSchedule4[[#This Row],[BEGINNING BALANCE]]*(InterestRate/PaymentsPerYear),"")</f>
        <v>202.95993571108644</v>
      </c>
      <c r="J29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53565.58149392865</v>
      </c>
      <c r="K293" s="32">
        <f>IF(PaymentSchedule4[[#This Row],[PMT NO]]&lt;&gt;"",SUM(INDEX(PaymentSchedule4[INTEREST],1,1):PaymentSchedule4[[#This Row],[INTEREST]]),"")</f>
        <v>114853.35569132077</v>
      </c>
    </row>
    <row r="294" spans="2:11" x14ac:dyDescent="0.3">
      <c r="B294" s="30">
        <f>IF(LoanIsGood,IF(ROW()-ROW(PaymentSchedule4[[#Headers],[PMT NO]])&gt;ScheduledNumberOfPayments,"",ROW()-ROW(PaymentSchedule4[[#Headers],[PMT NO]])),"")</f>
        <v>279</v>
      </c>
      <c r="C294" s="31">
        <f>IF(PaymentSchedule4[[#This Row],[PMT NO]]&lt;&gt;"",EOMONTH(LoanStartDate,ROW(PaymentSchedule4[[#This Row],[PMT NO]])-ROW(PaymentSchedule4[[#Headers],[PMT NO]])-2)+DAY(LoanStartDate),"")</f>
        <v>51836</v>
      </c>
      <c r="D294" s="32">
        <f>IF(PaymentSchedule4[[#This Row],[PMT NO]]&lt;&gt;"",IF(ROW()-ROW(PaymentSchedule4[[#Headers],[BEGINNING BALANCE]])=1,LoanAmount,INDEX(PaymentSchedule4[ENDING BALANCE],ROW()-ROW(PaymentSchedule4[[#Headers],[BEGINNING BALANCE]])-1)),"")</f>
        <v>53565.58149392865</v>
      </c>
      <c r="E294" s="32">
        <f>IF(PaymentSchedule4[[#This Row],[PMT NO]]&lt;&gt;"",ScheduledPayment,"")</f>
        <v>760.02796473882097</v>
      </c>
      <c r="F29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9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94" s="32">
        <f>IF(PaymentSchedule4[[#This Row],[PMT NO]]&lt;&gt;"",PaymentSchedule4[[#This Row],[TOTAL PAYMENT]]-PaymentSchedule4[[#This Row],[INTEREST]],"")</f>
        <v>559.15703413658855</v>
      </c>
      <c r="I294" s="32">
        <f>IF(PaymentSchedule4[[#This Row],[PMT NO]]&lt;&gt;"",PaymentSchedule4[[#This Row],[BEGINNING BALANCE]]*(InterestRate/PaymentsPerYear),"")</f>
        <v>200.87093060223242</v>
      </c>
      <c r="J29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53006.424459792062</v>
      </c>
      <c r="K294" s="32">
        <f>IF(PaymentSchedule4[[#This Row],[PMT NO]]&lt;&gt;"",SUM(INDEX(PaymentSchedule4[INTEREST],1,1):PaymentSchedule4[[#This Row],[INTEREST]]),"")</f>
        <v>115054.22662192301</v>
      </c>
    </row>
    <row r="295" spans="2:11" x14ac:dyDescent="0.3">
      <c r="B295" s="30">
        <f>IF(LoanIsGood,IF(ROW()-ROW(PaymentSchedule4[[#Headers],[PMT NO]])&gt;ScheduledNumberOfPayments,"",ROW()-ROW(PaymentSchedule4[[#Headers],[PMT NO]])),"")</f>
        <v>280</v>
      </c>
      <c r="C295" s="31">
        <f>IF(PaymentSchedule4[[#This Row],[PMT NO]]&lt;&gt;"",EOMONTH(LoanStartDate,ROW(PaymentSchedule4[[#This Row],[PMT NO]])-ROW(PaymentSchedule4[[#Headers],[PMT NO]])-2)+DAY(LoanStartDate),"")</f>
        <v>51867</v>
      </c>
      <c r="D295" s="32">
        <f>IF(PaymentSchedule4[[#This Row],[PMT NO]]&lt;&gt;"",IF(ROW()-ROW(PaymentSchedule4[[#Headers],[BEGINNING BALANCE]])=1,LoanAmount,INDEX(PaymentSchedule4[ENDING BALANCE],ROW()-ROW(PaymentSchedule4[[#Headers],[BEGINNING BALANCE]])-1)),"")</f>
        <v>53006.424459792062</v>
      </c>
      <c r="E295" s="32">
        <f>IF(PaymentSchedule4[[#This Row],[PMT NO]]&lt;&gt;"",ScheduledPayment,"")</f>
        <v>760.02796473882097</v>
      </c>
      <c r="F29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9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95" s="32">
        <f>IF(PaymentSchedule4[[#This Row],[PMT NO]]&lt;&gt;"",PaymentSchedule4[[#This Row],[TOTAL PAYMENT]]-PaymentSchedule4[[#This Row],[INTEREST]],"")</f>
        <v>561.25387301460069</v>
      </c>
      <c r="I295" s="32">
        <f>IF(PaymentSchedule4[[#This Row],[PMT NO]]&lt;&gt;"",PaymentSchedule4[[#This Row],[BEGINNING BALANCE]]*(InterestRate/PaymentsPerYear),"")</f>
        <v>198.77409172422023</v>
      </c>
      <c r="J29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52445.170586777458</v>
      </c>
      <c r="K295" s="32">
        <f>IF(PaymentSchedule4[[#This Row],[PMT NO]]&lt;&gt;"",SUM(INDEX(PaymentSchedule4[INTEREST],1,1):PaymentSchedule4[[#This Row],[INTEREST]]),"")</f>
        <v>115253.00071364723</v>
      </c>
    </row>
    <row r="296" spans="2:11" x14ac:dyDescent="0.3">
      <c r="B296" s="30">
        <f>IF(LoanIsGood,IF(ROW()-ROW(PaymentSchedule4[[#Headers],[PMT NO]])&gt;ScheduledNumberOfPayments,"",ROW()-ROW(PaymentSchedule4[[#Headers],[PMT NO]])),"")</f>
        <v>281</v>
      </c>
      <c r="C296" s="31">
        <f>IF(PaymentSchedule4[[#This Row],[PMT NO]]&lt;&gt;"",EOMONTH(LoanStartDate,ROW(PaymentSchedule4[[#This Row],[PMT NO]])-ROW(PaymentSchedule4[[#Headers],[PMT NO]])-2)+DAY(LoanStartDate),"")</f>
        <v>51898</v>
      </c>
      <c r="D296" s="32">
        <f>IF(PaymentSchedule4[[#This Row],[PMT NO]]&lt;&gt;"",IF(ROW()-ROW(PaymentSchedule4[[#Headers],[BEGINNING BALANCE]])=1,LoanAmount,INDEX(PaymentSchedule4[ENDING BALANCE],ROW()-ROW(PaymentSchedule4[[#Headers],[BEGINNING BALANCE]])-1)),"")</f>
        <v>52445.170586777458</v>
      </c>
      <c r="E296" s="32">
        <f>IF(PaymentSchedule4[[#This Row],[PMT NO]]&lt;&gt;"",ScheduledPayment,"")</f>
        <v>760.02796473882097</v>
      </c>
      <c r="F29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9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96" s="32">
        <f>IF(PaymentSchedule4[[#This Row],[PMT NO]]&lt;&gt;"",PaymentSchedule4[[#This Row],[TOTAL PAYMENT]]-PaymentSchedule4[[#This Row],[INTEREST]],"")</f>
        <v>563.35857503840555</v>
      </c>
      <c r="I296" s="32">
        <f>IF(PaymentSchedule4[[#This Row],[PMT NO]]&lt;&gt;"",PaymentSchedule4[[#This Row],[BEGINNING BALANCE]]*(InterestRate/PaymentsPerYear),"")</f>
        <v>196.66938970041545</v>
      </c>
      <c r="J29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51881.81201173905</v>
      </c>
      <c r="K296" s="32">
        <f>IF(PaymentSchedule4[[#This Row],[PMT NO]]&lt;&gt;"",SUM(INDEX(PaymentSchedule4[INTEREST],1,1):PaymentSchedule4[[#This Row],[INTEREST]]),"")</f>
        <v>115449.67010334764</v>
      </c>
    </row>
    <row r="297" spans="2:11" x14ac:dyDescent="0.3">
      <c r="B297" s="30">
        <f>IF(LoanIsGood,IF(ROW()-ROW(PaymentSchedule4[[#Headers],[PMT NO]])&gt;ScheduledNumberOfPayments,"",ROW()-ROW(PaymentSchedule4[[#Headers],[PMT NO]])),"")</f>
        <v>282</v>
      </c>
      <c r="C297" s="31">
        <f>IF(PaymentSchedule4[[#This Row],[PMT NO]]&lt;&gt;"",EOMONTH(LoanStartDate,ROW(PaymentSchedule4[[#This Row],[PMT NO]])-ROW(PaymentSchedule4[[#Headers],[PMT NO]])-2)+DAY(LoanStartDate),"")</f>
        <v>51926</v>
      </c>
      <c r="D297" s="32">
        <f>IF(PaymentSchedule4[[#This Row],[PMT NO]]&lt;&gt;"",IF(ROW()-ROW(PaymentSchedule4[[#Headers],[BEGINNING BALANCE]])=1,LoanAmount,INDEX(PaymentSchedule4[ENDING BALANCE],ROW()-ROW(PaymentSchedule4[[#Headers],[BEGINNING BALANCE]])-1)),"")</f>
        <v>51881.81201173905</v>
      </c>
      <c r="E297" s="32">
        <f>IF(PaymentSchedule4[[#This Row],[PMT NO]]&lt;&gt;"",ScheduledPayment,"")</f>
        <v>760.02796473882097</v>
      </c>
      <c r="F29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9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97" s="32">
        <f>IF(PaymentSchedule4[[#This Row],[PMT NO]]&lt;&gt;"",PaymentSchedule4[[#This Row],[TOTAL PAYMENT]]-PaymentSchedule4[[#This Row],[INTEREST]],"")</f>
        <v>565.47116969479953</v>
      </c>
      <c r="I297" s="32">
        <f>IF(PaymentSchedule4[[#This Row],[PMT NO]]&lt;&gt;"",PaymentSchedule4[[#This Row],[BEGINNING BALANCE]]*(InterestRate/PaymentsPerYear),"")</f>
        <v>194.55679504402144</v>
      </c>
      <c r="J29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51316.34084204425</v>
      </c>
      <c r="K297" s="32">
        <f>IF(PaymentSchedule4[[#This Row],[PMT NO]]&lt;&gt;"",SUM(INDEX(PaymentSchedule4[INTEREST],1,1):PaymentSchedule4[[#This Row],[INTEREST]]),"")</f>
        <v>115644.22689839166</v>
      </c>
    </row>
    <row r="298" spans="2:11" x14ac:dyDescent="0.3">
      <c r="B298" s="30">
        <f>IF(LoanIsGood,IF(ROW()-ROW(PaymentSchedule4[[#Headers],[PMT NO]])&gt;ScheduledNumberOfPayments,"",ROW()-ROW(PaymentSchedule4[[#Headers],[PMT NO]])),"")</f>
        <v>283</v>
      </c>
      <c r="C298" s="31">
        <f>IF(PaymentSchedule4[[#This Row],[PMT NO]]&lt;&gt;"",EOMONTH(LoanStartDate,ROW(PaymentSchedule4[[#This Row],[PMT NO]])-ROW(PaymentSchedule4[[#Headers],[PMT NO]])-2)+DAY(LoanStartDate),"")</f>
        <v>51957</v>
      </c>
      <c r="D298" s="32">
        <f>IF(PaymentSchedule4[[#This Row],[PMT NO]]&lt;&gt;"",IF(ROW()-ROW(PaymentSchedule4[[#Headers],[BEGINNING BALANCE]])=1,LoanAmount,INDEX(PaymentSchedule4[ENDING BALANCE],ROW()-ROW(PaymentSchedule4[[#Headers],[BEGINNING BALANCE]])-1)),"")</f>
        <v>51316.34084204425</v>
      </c>
      <c r="E298" s="32">
        <f>IF(PaymentSchedule4[[#This Row],[PMT NO]]&lt;&gt;"",ScheduledPayment,"")</f>
        <v>760.02796473882097</v>
      </c>
      <c r="F29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9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98" s="32">
        <f>IF(PaymentSchedule4[[#This Row],[PMT NO]]&lt;&gt;"",PaymentSchedule4[[#This Row],[TOTAL PAYMENT]]-PaymentSchedule4[[#This Row],[INTEREST]],"")</f>
        <v>567.59168658115505</v>
      </c>
      <c r="I298" s="32">
        <f>IF(PaymentSchedule4[[#This Row],[PMT NO]]&lt;&gt;"",PaymentSchedule4[[#This Row],[BEGINNING BALANCE]]*(InterestRate/PaymentsPerYear),"")</f>
        <v>192.43627815766592</v>
      </c>
      <c r="J29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50748.749155463098</v>
      </c>
      <c r="K298" s="32">
        <f>IF(PaymentSchedule4[[#This Row],[PMT NO]]&lt;&gt;"",SUM(INDEX(PaymentSchedule4[INTEREST],1,1):PaymentSchedule4[[#This Row],[INTEREST]]),"")</f>
        <v>115836.66317654932</v>
      </c>
    </row>
    <row r="299" spans="2:11" x14ac:dyDescent="0.3">
      <c r="B299" s="30">
        <f>IF(LoanIsGood,IF(ROW()-ROW(PaymentSchedule4[[#Headers],[PMT NO]])&gt;ScheduledNumberOfPayments,"",ROW()-ROW(PaymentSchedule4[[#Headers],[PMT NO]])),"")</f>
        <v>284</v>
      </c>
      <c r="C299" s="31">
        <f>IF(PaymentSchedule4[[#This Row],[PMT NO]]&lt;&gt;"",EOMONTH(LoanStartDate,ROW(PaymentSchedule4[[#This Row],[PMT NO]])-ROW(PaymentSchedule4[[#Headers],[PMT NO]])-2)+DAY(LoanStartDate),"")</f>
        <v>51987</v>
      </c>
      <c r="D299" s="32">
        <f>IF(PaymentSchedule4[[#This Row],[PMT NO]]&lt;&gt;"",IF(ROW()-ROW(PaymentSchedule4[[#Headers],[BEGINNING BALANCE]])=1,LoanAmount,INDEX(PaymentSchedule4[ENDING BALANCE],ROW()-ROW(PaymentSchedule4[[#Headers],[BEGINNING BALANCE]])-1)),"")</f>
        <v>50748.749155463098</v>
      </c>
      <c r="E299" s="32">
        <f>IF(PaymentSchedule4[[#This Row],[PMT NO]]&lt;&gt;"",ScheduledPayment,"")</f>
        <v>760.02796473882097</v>
      </c>
      <c r="F29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29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299" s="32">
        <f>IF(PaymentSchedule4[[#This Row],[PMT NO]]&lt;&gt;"",PaymentSchedule4[[#This Row],[TOTAL PAYMENT]]-PaymentSchedule4[[#This Row],[INTEREST]],"")</f>
        <v>569.72015540583436</v>
      </c>
      <c r="I299" s="32">
        <f>IF(PaymentSchedule4[[#This Row],[PMT NO]]&lt;&gt;"",PaymentSchedule4[[#This Row],[BEGINNING BALANCE]]*(InterestRate/PaymentsPerYear),"")</f>
        <v>190.30780933298661</v>
      </c>
      <c r="J29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50179.029000057264</v>
      </c>
      <c r="K299" s="32">
        <f>IF(PaymentSchedule4[[#This Row],[PMT NO]]&lt;&gt;"",SUM(INDEX(PaymentSchedule4[INTEREST],1,1):PaymentSchedule4[[#This Row],[INTEREST]]),"")</f>
        <v>116026.9709858823</v>
      </c>
    </row>
    <row r="300" spans="2:11" x14ac:dyDescent="0.3">
      <c r="B300" s="30">
        <f>IF(LoanIsGood,IF(ROW()-ROW(PaymentSchedule4[[#Headers],[PMT NO]])&gt;ScheduledNumberOfPayments,"",ROW()-ROW(PaymentSchedule4[[#Headers],[PMT NO]])),"")</f>
        <v>285</v>
      </c>
      <c r="C300" s="31">
        <f>IF(PaymentSchedule4[[#This Row],[PMT NO]]&lt;&gt;"",EOMONTH(LoanStartDate,ROW(PaymentSchedule4[[#This Row],[PMT NO]])-ROW(PaymentSchedule4[[#Headers],[PMT NO]])-2)+DAY(LoanStartDate),"")</f>
        <v>52018</v>
      </c>
      <c r="D300" s="32">
        <f>IF(PaymentSchedule4[[#This Row],[PMT NO]]&lt;&gt;"",IF(ROW()-ROW(PaymentSchedule4[[#Headers],[BEGINNING BALANCE]])=1,LoanAmount,INDEX(PaymentSchedule4[ENDING BALANCE],ROW()-ROW(PaymentSchedule4[[#Headers],[BEGINNING BALANCE]])-1)),"")</f>
        <v>50179.029000057264</v>
      </c>
      <c r="E300" s="32">
        <f>IF(PaymentSchedule4[[#This Row],[PMT NO]]&lt;&gt;"",ScheduledPayment,"")</f>
        <v>760.02796473882097</v>
      </c>
      <c r="F30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0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00" s="32">
        <f>IF(PaymentSchedule4[[#This Row],[PMT NO]]&lt;&gt;"",PaymentSchedule4[[#This Row],[TOTAL PAYMENT]]-PaymentSchedule4[[#This Row],[INTEREST]],"")</f>
        <v>571.85660598860625</v>
      </c>
      <c r="I300" s="32">
        <f>IF(PaymentSchedule4[[#This Row],[PMT NO]]&lt;&gt;"",PaymentSchedule4[[#This Row],[BEGINNING BALANCE]]*(InterestRate/PaymentsPerYear),"")</f>
        <v>188.17135875021472</v>
      </c>
      <c r="J30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49607.172394068657</v>
      </c>
      <c r="K300" s="32">
        <f>IF(PaymentSchedule4[[#This Row],[PMT NO]]&lt;&gt;"",SUM(INDEX(PaymentSchedule4[INTEREST],1,1):PaymentSchedule4[[#This Row],[INTEREST]]),"")</f>
        <v>116215.14234463252</v>
      </c>
    </row>
    <row r="301" spans="2:11" x14ac:dyDescent="0.3">
      <c r="B301" s="30">
        <f>IF(LoanIsGood,IF(ROW()-ROW(PaymentSchedule4[[#Headers],[PMT NO]])&gt;ScheduledNumberOfPayments,"",ROW()-ROW(PaymentSchedule4[[#Headers],[PMT NO]])),"")</f>
        <v>286</v>
      </c>
      <c r="C301" s="31">
        <f>IF(PaymentSchedule4[[#This Row],[PMT NO]]&lt;&gt;"",EOMONTH(LoanStartDate,ROW(PaymentSchedule4[[#This Row],[PMT NO]])-ROW(PaymentSchedule4[[#Headers],[PMT NO]])-2)+DAY(LoanStartDate),"")</f>
        <v>52048</v>
      </c>
      <c r="D301" s="32">
        <f>IF(PaymentSchedule4[[#This Row],[PMT NO]]&lt;&gt;"",IF(ROW()-ROW(PaymentSchedule4[[#Headers],[BEGINNING BALANCE]])=1,LoanAmount,INDEX(PaymentSchedule4[ENDING BALANCE],ROW()-ROW(PaymentSchedule4[[#Headers],[BEGINNING BALANCE]])-1)),"")</f>
        <v>49607.172394068657</v>
      </c>
      <c r="E301" s="32">
        <f>IF(PaymentSchedule4[[#This Row],[PMT NO]]&lt;&gt;"",ScheduledPayment,"")</f>
        <v>760.02796473882097</v>
      </c>
      <c r="F30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0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01" s="32">
        <f>IF(PaymentSchedule4[[#This Row],[PMT NO]]&lt;&gt;"",PaymentSchedule4[[#This Row],[TOTAL PAYMENT]]-PaymentSchedule4[[#This Row],[INTEREST]],"")</f>
        <v>574.00106826106355</v>
      </c>
      <c r="I301" s="32">
        <f>IF(PaymentSchedule4[[#This Row],[PMT NO]]&lt;&gt;"",PaymentSchedule4[[#This Row],[BEGINNING BALANCE]]*(InterestRate/PaymentsPerYear),"")</f>
        <v>186.02689647775745</v>
      </c>
      <c r="J30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49033.171325807591</v>
      </c>
      <c r="K301" s="32">
        <f>IF(PaymentSchedule4[[#This Row],[PMT NO]]&lt;&gt;"",SUM(INDEX(PaymentSchedule4[INTEREST],1,1):PaymentSchedule4[[#This Row],[INTEREST]]),"")</f>
        <v>116401.16924111028</v>
      </c>
    </row>
    <row r="302" spans="2:11" x14ac:dyDescent="0.3">
      <c r="B302" s="30">
        <f>IF(LoanIsGood,IF(ROW()-ROW(PaymentSchedule4[[#Headers],[PMT NO]])&gt;ScheduledNumberOfPayments,"",ROW()-ROW(PaymentSchedule4[[#Headers],[PMT NO]])),"")</f>
        <v>287</v>
      </c>
      <c r="C302" s="31">
        <f>IF(PaymentSchedule4[[#This Row],[PMT NO]]&lt;&gt;"",EOMONTH(LoanStartDate,ROW(PaymentSchedule4[[#This Row],[PMT NO]])-ROW(PaymentSchedule4[[#Headers],[PMT NO]])-2)+DAY(LoanStartDate),"")</f>
        <v>52079</v>
      </c>
      <c r="D302" s="32">
        <f>IF(PaymentSchedule4[[#This Row],[PMT NO]]&lt;&gt;"",IF(ROW()-ROW(PaymentSchedule4[[#Headers],[BEGINNING BALANCE]])=1,LoanAmount,INDEX(PaymentSchedule4[ENDING BALANCE],ROW()-ROW(PaymentSchedule4[[#Headers],[BEGINNING BALANCE]])-1)),"")</f>
        <v>49033.171325807591</v>
      </c>
      <c r="E302" s="32">
        <f>IF(PaymentSchedule4[[#This Row],[PMT NO]]&lt;&gt;"",ScheduledPayment,"")</f>
        <v>760.02796473882097</v>
      </c>
      <c r="F30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0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02" s="32">
        <f>IF(PaymentSchedule4[[#This Row],[PMT NO]]&lt;&gt;"",PaymentSchedule4[[#This Row],[TOTAL PAYMENT]]-PaymentSchedule4[[#This Row],[INTEREST]],"")</f>
        <v>576.15357226704248</v>
      </c>
      <c r="I302" s="32">
        <f>IF(PaymentSchedule4[[#This Row],[PMT NO]]&lt;&gt;"",PaymentSchedule4[[#This Row],[BEGINNING BALANCE]]*(InterestRate/PaymentsPerYear),"")</f>
        <v>183.87439247177846</v>
      </c>
      <c r="J30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48457.017753540546</v>
      </c>
      <c r="K302" s="32">
        <f>IF(PaymentSchedule4[[#This Row],[PMT NO]]&lt;&gt;"",SUM(INDEX(PaymentSchedule4[INTEREST],1,1):PaymentSchedule4[[#This Row],[INTEREST]]),"")</f>
        <v>116585.04363358207</v>
      </c>
    </row>
    <row r="303" spans="2:11" x14ac:dyDescent="0.3">
      <c r="B303" s="30">
        <f>IF(LoanIsGood,IF(ROW()-ROW(PaymentSchedule4[[#Headers],[PMT NO]])&gt;ScheduledNumberOfPayments,"",ROW()-ROW(PaymentSchedule4[[#Headers],[PMT NO]])),"")</f>
        <v>288</v>
      </c>
      <c r="C303" s="31">
        <f>IF(PaymentSchedule4[[#This Row],[PMT NO]]&lt;&gt;"",EOMONTH(LoanStartDate,ROW(PaymentSchedule4[[#This Row],[PMT NO]])-ROW(PaymentSchedule4[[#Headers],[PMT NO]])-2)+DAY(LoanStartDate),"")</f>
        <v>52110</v>
      </c>
      <c r="D303" s="32">
        <f>IF(PaymentSchedule4[[#This Row],[PMT NO]]&lt;&gt;"",IF(ROW()-ROW(PaymentSchedule4[[#Headers],[BEGINNING BALANCE]])=1,LoanAmount,INDEX(PaymentSchedule4[ENDING BALANCE],ROW()-ROW(PaymentSchedule4[[#Headers],[BEGINNING BALANCE]])-1)),"")</f>
        <v>48457.017753540546</v>
      </c>
      <c r="E303" s="32">
        <f>IF(PaymentSchedule4[[#This Row],[PMT NO]]&lt;&gt;"",ScheduledPayment,"")</f>
        <v>760.02796473882097</v>
      </c>
      <c r="F30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0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03" s="32">
        <f>IF(PaymentSchedule4[[#This Row],[PMT NO]]&lt;&gt;"",PaymentSchedule4[[#This Row],[TOTAL PAYMENT]]-PaymentSchedule4[[#This Row],[INTEREST]],"")</f>
        <v>578.31414816304391</v>
      </c>
      <c r="I303" s="32">
        <f>IF(PaymentSchedule4[[#This Row],[PMT NO]]&lt;&gt;"",PaymentSchedule4[[#This Row],[BEGINNING BALANCE]]*(InterestRate/PaymentsPerYear),"")</f>
        <v>181.71381657577703</v>
      </c>
      <c r="J30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47878.703605377501</v>
      </c>
      <c r="K303" s="32">
        <f>IF(PaymentSchedule4[[#This Row],[PMT NO]]&lt;&gt;"",SUM(INDEX(PaymentSchedule4[INTEREST],1,1):PaymentSchedule4[[#This Row],[INTEREST]]),"")</f>
        <v>116766.75745015785</v>
      </c>
    </row>
    <row r="304" spans="2:11" x14ac:dyDescent="0.3">
      <c r="B304" s="30">
        <f>IF(LoanIsGood,IF(ROW()-ROW(PaymentSchedule4[[#Headers],[PMT NO]])&gt;ScheduledNumberOfPayments,"",ROW()-ROW(PaymentSchedule4[[#Headers],[PMT NO]])),"")</f>
        <v>289</v>
      </c>
      <c r="C304" s="31">
        <f>IF(PaymentSchedule4[[#This Row],[PMT NO]]&lt;&gt;"",EOMONTH(LoanStartDate,ROW(PaymentSchedule4[[#This Row],[PMT NO]])-ROW(PaymentSchedule4[[#Headers],[PMT NO]])-2)+DAY(LoanStartDate),"")</f>
        <v>52140</v>
      </c>
      <c r="D304" s="32">
        <f>IF(PaymentSchedule4[[#This Row],[PMT NO]]&lt;&gt;"",IF(ROW()-ROW(PaymentSchedule4[[#Headers],[BEGINNING BALANCE]])=1,LoanAmount,INDEX(PaymentSchedule4[ENDING BALANCE],ROW()-ROW(PaymentSchedule4[[#Headers],[BEGINNING BALANCE]])-1)),"")</f>
        <v>47878.703605377501</v>
      </c>
      <c r="E304" s="32">
        <f>IF(PaymentSchedule4[[#This Row],[PMT NO]]&lt;&gt;"",ScheduledPayment,"")</f>
        <v>760.02796473882097</v>
      </c>
      <c r="F30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0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04" s="32">
        <f>IF(PaymentSchedule4[[#This Row],[PMT NO]]&lt;&gt;"",PaymentSchedule4[[#This Row],[TOTAL PAYMENT]]-PaymentSchedule4[[#This Row],[INTEREST]],"")</f>
        <v>580.48282621865542</v>
      </c>
      <c r="I304" s="32">
        <f>IF(PaymentSchedule4[[#This Row],[PMT NO]]&lt;&gt;"",PaymentSchedule4[[#This Row],[BEGINNING BALANCE]]*(InterestRate/PaymentsPerYear),"")</f>
        <v>179.54513852016561</v>
      </c>
      <c r="J30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47298.220779158844</v>
      </c>
      <c r="K304" s="32">
        <f>IF(PaymentSchedule4[[#This Row],[PMT NO]]&lt;&gt;"",SUM(INDEX(PaymentSchedule4[INTEREST],1,1):PaymentSchedule4[[#This Row],[INTEREST]]),"")</f>
        <v>116946.30258867801</v>
      </c>
    </row>
    <row r="305" spans="2:11" x14ac:dyDescent="0.3">
      <c r="B305" s="30">
        <f>IF(LoanIsGood,IF(ROW()-ROW(PaymentSchedule4[[#Headers],[PMT NO]])&gt;ScheduledNumberOfPayments,"",ROW()-ROW(PaymentSchedule4[[#Headers],[PMT NO]])),"")</f>
        <v>290</v>
      </c>
      <c r="C305" s="31">
        <f>IF(PaymentSchedule4[[#This Row],[PMT NO]]&lt;&gt;"",EOMONTH(LoanStartDate,ROW(PaymentSchedule4[[#This Row],[PMT NO]])-ROW(PaymentSchedule4[[#Headers],[PMT NO]])-2)+DAY(LoanStartDate),"")</f>
        <v>52171</v>
      </c>
      <c r="D305" s="32">
        <f>IF(PaymentSchedule4[[#This Row],[PMT NO]]&lt;&gt;"",IF(ROW()-ROW(PaymentSchedule4[[#Headers],[BEGINNING BALANCE]])=1,LoanAmount,INDEX(PaymentSchedule4[ENDING BALANCE],ROW()-ROW(PaymentSchedule4[[#Headers],[BEGINNING BALANCE]])-1)),"")</f>
        <v>47298.220779158844</v>
      </c>
      <c r="E305" s="32">
        <f>IF(PaymentSchedule4[[#This Row],[PMT NO]]&lt;&gt;"",ScheduledPayment,"")</f>
        <v>760.02796473882097</v>
      </c>
      <c r="F30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0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05" s="32">
        <f>IF(PaymentSchedule4[[#This Row],[PMT NO]]&lt;&gt;"",PaymentSchedule4[[#This Row],[TOTAL PAYMENT]]-PaymentSchedule4[[#This Row],[INTEREST]],"")</f>
        <v>582.65963681697531</v>
      </c>
      <c r="I305" s="32">
        <f>IF(PaymentSchedule4[[#This Row],[PMT NO]]&lt;&gt;"",PaymentSchedule4[[#This Row],[BEGINNING BALANCE]]*(InterestRate/PaymentsPerYear),"")</f>
        <v>177.36832792184566</v>
      </c>
      <c r="J30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46715.561142341867</v>
      </c>
      <c r="K305" s="32">
        <f>IF(PaymentSchedule4[[#This Row],[PMT NO]]&lt;&gt;"",SUM(INDEX(PaymentSchedule4[INTEREST],1,1):PaymentSchedule4[[#This Row],[INTEREST]]),"")</f>
        <v>117123.67091659985</v>
      </c>
    </row>
    <row r="306" spans="2:11" x14ac:dyDescent="0.3">
      <c r="B306" s="30">
        <f>IF(LoanIsGood,IF(ROW()-ROW(PaymentSchedule4[[#Headers],[PMT NO]])&gt;ScheduledNumberOfPayments,"",ROW()-ROW(PaymentSchedule4[[#Headers],[PMT NO]])),"")</f>
        <v>291</v>
      </c>
      <c r="C306" s="31">
        <f>IF(PaymentSchedule4[[#This Row],[PMT NO]]&lt;&gt;"",EOMONTH(LoanStartDate,ROW(PaymentSchedule4[[#This Row],[PMT NO]])-ROW(PaymentSchedule4[[#Headers],[PMT NO]])-2)+DAY(LoanStartDate),"")</f>
        <v>52201</v>
      </c>
      <c r="D306" s="32">
        <f>IF(PaymentSchedule4[[#This Row],[PMT NO]]&lt;&gt;"",IF(ROW()-ROW(PaymentSchedule4[[#Headers],[BEGINNING BALANCE]])=1,LoanAmount,INDEX(PaymentSchedule4[ENDING BALANCE],ROW()-ROW(PaymentSchedule4[[#Headers],[BEGINNING BALANCE]])-1)),"")</f>
        <v>46715.561142341867</v>
      </c>
      <c r="E306" s="32">
        <f>IF(PaymentSchedule4[[#This Row],[PMT NO]]&lt;&gt;"",ScheduledPayment,"")</f>
        <v>760.02796473882097</v>
      </c>
      <c r="F30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0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06" s="32">
        <f>IF(PaymentSchedule4[[#This Row],[PMT NO]]&lt;&gt;"",PaymentSchedule4[[#This Row],[TOTAL PAYMENT]]-PaymentSchedule4[[#This Row],[INTEREST]],"")</f>
        <v>584.84461045503895</v>
      </c>
      <c r="I306" s="32">
        <f>IF(PaymentSchedule4[[#This Row],[PMT NO]]&lt;&gt;"",PaymentSchedule4[[#This Row],[BEGINNING BALANCE]]*(InterestRate/PaymentsPerYear),"")</f>
        <v>175.18335428378199</v>
      </c>
      <c r="J30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46130.716531886828</v>
      </c>
      <c r="K306" s="32">
        <f>IF(PaymentSchedule4[[#This Row],[PMT NO]]&lt;&gt;"",SUM(INDEX(PaymentSchedule4[INTEREST],1,1):PaymentSchedule4[[#This Row],[INTEREST]]),"")</f>
        <v>117298.85427088363</v>
      </c>
    </row>
    <row r="307" spans="2:11" x14ac:dyDescent="0.3">
      <c r="B307" s="30">
        <f>IF(LoanIsGood,IF(ROW()-ROW(PaymentSchedule4[[#Headers],[PMT NO]])&gt;ScheduledNumberOfPayments,"",ROW()-ROW(PaymentSchedule4[[#Headers],[PMT NO]])),"")</f>
        <v>292</v>
      </c>
      <c r="C307" s="31">
        <f>IF(PaymentSchedule4[[#This Row],[PMT NO]]&lt;&gt;"",EOMONTH(LoanStartDate,ROW(PaymentSchedule4[[#This Row],[PMT NO]])-ROW(PaymentSchedule4[[#Headers],[PMT NO]])-2)+DAY(LoanStartDate),"")</f>
        <v>52232</v>
      </c>
      <c r="D307" s="32">
        <f>IF(PaymentSchedule4[[#This Row],[PMT NO]]&lt;&gt;"",IF(ROW()-ROW(PaymentSchedule4[[#Headers],[BEGINNING BALANCE]])=1,LoanAmount,INDEX(PaymentSchedule4[ENDING BALANCE],ROW()-ROW(PaymentSchedule4[[#Headers],[BEGINNING BALANCE]])-1)),"")</f>
        <v>46130.716531886828</v>
      </c>
      <c r="E307" s="32">
        <f>IF(PaymentSchedule4[[#This Row],[PMT NO]]&lt;&gt;"",ScheduledPayment,"")</f>
        <v>760.02796473882097</v>
      </c>
      <c r="F30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0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07" s="32">
        <f>IF(PaymentSchedule4[[#This Row],[PMT NO]]&lt;&gt;"",PaymentSchedule4[[#This Row],[TOTAL PAYMENT]]-PaymentSchedule4[[#This Row],[INTEREST]],"")</f>
        <v>587.03777774424543</v>
      </c>
      <c r="I307" s="32">
        <f>IF(PaymentSchedule4[[#This Row],[PMT NO]]&lt;&gt;"",PaymentSchedule4[[#This Row],[BEGINNING BALANCE]]*(InterestRate/PaymentsPerYear),"")</f>
        <v>172.99018699457559</v>
      </c>
      <c r="J30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45543.67875414258</v>
      </c>
      <c r="K307" s="32">
        <f>IF(PaymentSchedule4[[#This Row],[PMT NO]]&lt;&gt;"",SUM(INDEX(PaymentSchedule4[INTEREST],1,1):PaymentSchedule4[[#This Row],[INTEREST]]),"")</f>
        <v>117471.84445787821</v>
      </c>
    </row>
    <row r="308" spans="2:11" x14ac:dyDescent="0.3">
      <c r="B308" s="30">
        <f>IF(LoanIsGood,IF(ROW()-ROW(PaymentSchedule4[[#Headers],[PMT NO]])&gt;ScheduledNumberOfPayments,"",ROW()-ROW(PaymentSchedule4[[#Headers],[PMT NO]])),"")</f>
        <v>293</v>
      </c>
      <c r="C308" s="31">
        <f>IF(PaymentSchedule4[[#This Row],[PMT NO]]&lt;&gt;"",EOMONTH(LoanStartDate,ROW(PaymentSchedule4[[#This Row],[PMT NO]])-ROW(PaymentSchedule4[[#Headers],[PMT NO]])-2)+DAY(LoanStartDate),"")</f>
        <v>52263</v>
      </c>
      <c r="D308" s="32">
        <f>IF(PaymentSchedule4[[#This Row],[PMT NO]]&lt;&gt;"",IF(ROW()-ROW(PaymentSchedule4[[#Headers],[BEGINNING BALANCE]])=1,LoanAmount,INDEX(PaymentSchedule4[ENDING BALANCE],ROW()-ROW(PaymentSchedule4[[#Headers],[BEGINNING BALANCE]])-1)),"")</f>
        <v>45543.67875414258</v>
      </c>
      <c r="E308" s="32">
        <f>IF(PaymentSchedule4[[#This Row],[PMT NO]]&lt;&gt;"",ScheduledPayment,"")</f>
        <v>760.02796473882097</v>
      </c>
      <c r="F30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0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08" s="32">
        <f>IF(PaymentSchedule4[[#This Row],[PMT NO]]&lt;&gt;"",PaymentSchedule4[[#This Row],[TOTAL PAYMENT]]-PaymentSchedule4[[#This Row],[INTEREST]],"")</f>
        <v>589.2391694107863</v>
      </c>
      <c r="I308" s="32">
        <f>IF(PaymentSchedule4[[#This Row],[PMT NO]]&lt;&gt;"",PaymentSchedule4[[#This Row],[BEGINNING BALANCE]]*(InterestRate/PaymentsPerYear),"")</f>
        <v>170.78879532803467</v>
      </c>
      <c r="J30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44954.439584731794</v>
      </c>
      <c r="K308" s="32">
        <f>IF(PaymentSchedule4[[#This Row],[PMT NO]]&lt;&gt;"",SUM(INDEX(PaymentSchedule4[INTEREST],1,1):PaymentSchedule4[[#This Row],[INTEREST]]),"")</f>
        <v>117642.63325320624</v>
      </c>
    </row>
    <row r="309" spans="2:11" x14ac:dyDescent="0.3">
      <c r="B309" s="30">
        <f>IF(LoanIsGood,IF(ROW()-ROW(PaymentSchedule4[[#Headers],[PMT NO]])&gt;ScheduledNumberOfPayments,"",ROW()-ROW(PaymentSchedule4[[#Headers],[PMT NO]])),"")</f>
        <v>294</v>
      </c>
      <c r="C309" s="31">
        <f>IF(PaymentSchedule4[[#This Row],[PMT NO]]&lt;&gt;"",EOMONTH(LoanStartDate,ROW(PaymentSchedule4[[#This Row],[PMT NO]])-ROW(PaymentSchedule4[[#Headers],[PMT NO]])-2)+DAY(LoanStartDate),"")</f>
        <v>52291</v>
      </c>
      <c r="D309" s="32">
        <f>IF(PaymentSchedule4[[#This Row],[PMT NO]]&lt;&gt;"",IF(ROW()-ROW(PaymentSchedule4[[#Headers],[BEGINNING BALANCE]])=1,LoanAmount,INDEX(PaymentSchedule4[ENDING BALANCE],ROW()-ROW(PaymentSchedule4[[#Headers],[BEGINNING BALANCE]])-1)),"")</f>
        <v>44954.439584731794</v>
      </c>
      <c r="E309" s="32">
        <f>IF(PaymentSchedule4[[#This Row],[PMT NO]]&lt;&gt;"",ScheduledPayment,"")</f>
        <v>760.02796473882097</v>
      </c>
      <c r="F30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0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09" s="32">
        <f>IF(PaymentSchedule4[[#This Row],[PMT NO]]&lt;&gt;"",PaymentSchedule4[[#This Row],[TOTAL PAYMENT]]-PaymentSchedule4[[#This Row],[INTEREST]],"")</f>
        <v>591.44881629607676</v>
      </c>
      <c r="I309" s="32">
        <f>IF(PaymentSchedule4[[#This Row],[PMT NO]]&lt;&gt;"",PaymentSchedule4[[#This Row],[BEGINNING BALANCE]]*(InterestRate/PaymentsPerYear),"")</f>
        <v>168.57914844274421</v>
      </c>
      <c r="J30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44362.990768435717</v>
      </c>
      <c r="K309" s="32">
        <f>IF(PaymentSchedule4[[#This Row],[PMT NO]]&lt;&gt;"",SUM(INDEX(PaymentSchedule4[INTEREST],1,1):PaymentSchedule4[[#This Row],[INTEREST]]),"")</f>
        <v>117811.21240164898</v>
      </c>
    </row>
    <row r="310" spans="2:11" x14ac:dyDescent="0.3">
      <c r="B310" s="30">
        <f>IF(LoanIsGood,IF(ROW()-ROW(PaymentSchedule4[[#Headers],[PMT NO]])&gt;ScheduledNumberOfPayments,"",ROW()-ROW(PaymentSchedule4[[#Headers],[PMT NO]])),"")</f>
        <v>295</v>
      </c>
      <c r="C310" s="31">
        <f>IF(PaymentSchedule4[[#This Row],[PMT NO]]&lt;&gt;"",EOMONTH(LoanStartDate,ROW(PaymentSchedule4[[#This Row],[PMT NO]])-ROW(PaymentSchedule4[[#Headers],[PMT NO]])-2)+DAY(LoanStartDate),"")</f>
        <v>52322</v>
      </c>
      <c r="D310" s="32">
        <f>IF(PaymentSchedule4[[#This Row],[PMT NO]]&lt;&gt;"",IF(ROW()-ROW(PaymentSchedule4[[#Headers],[BEGINNING BALANCE]])=1,LoanAmount,INDEX(PaymentSchedule4[ENDING BALANCE],ROW()-ROW(PaymentSchedule4[[#Headers],[BEGINNING BALANCE]])-1)),"")</f>
        <v>44362.990768435717</v>
      </c>
      <c r="E310" s="32">
        <f>IF(PaymentSchedule4[[#This Row],[PMT NO]]&lt;&gt;"",ScheduledPayment,"")</f>
        <v>760.02796473882097</v>
      </c>
      <c r="F31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1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10" s="32">
        <f>IF(PaymentSchedule4[[#This Row],[PMT NO]]&lt;&gt;"",PaymentSchedule4[[#This Row],[TOTAL PAYMENT]]-PaymentSchedule4[[#This Row],[INTEREST]],"")</f>
        <v>593.66674935718697</v>
      </c>
      <c r="I310" s="32">
        <f>IF(PaymentSchedule4[[#This Row],[PMT NO]]&lt;&gt;"",PaymentSchedule4[[#This Row],[BEGINNING BALANCE]]*(InterestRate/PaymentsPerYear),"")</f>
        <v>166.36121538163394</v>
      </c>
      <c r="J31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43769.324019078529</v>
      </c>
      <c r="K310" s="32">
        <f>IF(PaymentSchedule4[[#This Row],[PMT NO]]&lt;&gt;"",SUM(INDEX(PaymentSchedule4[INTEREST],1,1):PaymentSchedule4[[#This Row],[INTEREST]]),"")</f>
        <v>117977.57361703062</v>
      </c>
    </row>
    <row r="311" spans="2:11" x14ac:dyDescent="0.3">
      <c r="B311" s="30">
        <f>IF(LoanIsGood,IF(ROW()-ROW(PaymentSchedule4[[#Headers],[PMT NO]])&gt;ScheduledNumberOfPayments,"",ROW()-ROW(PaymentSchedule4[[#Headers],[PMT NO]])),"")</f>
        <v>296</v>
      </c>
      <c r="C311" s="31">
        <f>IF(PaymentSchedule4[[#This Row],[PMT NO]]&lt;&gt;"",EOMONTH(LoanStartDate,ROW(PaymentSchedule4[[#This Row],[PMT NO]])-ROW(PaymentSchedule4[[#Headers],[PMT NO]])-2)+DAY(LoanStartDate),"")</f>
        <v>52352</v>
      </c>
      <c r="D311" s="32">
        <f>IF(PaymentSchedule4[[#This Row],[PMT NO]]&lt;&gt;"",IF(ROW()-ROW(PaymentSchedule4[[#Headers],[BEGINNING BALANCE]])=1,LoanAmount,INDEX(PaymentSchedule4[ENDING BALANCE],ROW()-ROW(PaymentSchedule4[[#Headers],[BEGINNING BALANCE]])-1)),"")</f>
        <v>43769.324019078529</v>
      </c>
      <c r="E311" s="32">
        <f>IF(PaymentSchedule4[[#This Row],[PMT NO]]&lt;&gt;"",ScheduledPayment,"")</f>
        <v>760.02796473882097</v>
      </c>
      <c r="F31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1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11" s="32">
        <f>IF(PaymentSchedule4[[#This Row],[PMT NO]]&lt;&gt;"",PaymentSchedule4[[#This Row],[TOTAL PAYMENT]]-PaymentSchedule4[[#This Row],[INTEREST]],"")</f>
        <v>595.89299966727651</v>
      </c>
      <c r="I311" s="32">
        <f>IF(PaymentSchedule4[[#This Row],[PMT NO]]&lt;&gt;"",PaymentSchedule4[[#This Row],[BEGINNING BALANCE]]*(InterestRate/PaymentsPerYear),"")</f>
        <v>164.13496507154449</v>
      </c>
      <c r="J31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43173.431019411255</v>
      </c>
      <c r="K311" s="32">
        <f>IF(PaymentSchedule4[[#This Row],[PMT NO]]&lt;&gt;"",SUM(INDEX(PaymentSchedule4[INTEREST],1,1):PaymentSchedule4[[#This Row],[INTEREST]]),"")</f>
        <v>118141.70858210216</v>
      </c>
    </row>
    <row r="312" spans="2:11" x14ac:dyDescent="0.3">
      <c r="B312" s="30">
        <f>IF(LoanIsGood,IF(ROW()-ROW(PaymentSchedule4[[#Headers],[PMT NO]])&gt;ScheduledNumberOfPayments,"",ROW()-ROW(PaymentSchedule4[[#Headers],[PMT NO]])),"")</f>
        <v>297</v>
      </c>
      <c r="C312" s="31">
        <f>IF(PaymentSchedule4[[#This Row],[PMT NO]]&lt;&gt;"",EOMONTH(LoanStartDate,ROW(PaymentSchedule4[[#This Row],[PMT NO]])-ROW(PaymentSchedule4[[#Headers],[PMT NO]])-2)+DAY(LoanStartDate),"")</f>
        <v>52383</v>
      </c>
      <c r="D312" s="32">
        <f>IF(PaymentSchedule4[[#This Row],[PMT NO]]&lt;&gt;"",IF(ROW()-ROW(PaymentSchedule4[[#Headers],[BEGINNING BALANCE]])=1,LoanAmount,INDEX(PaymentSchedule4[ENDING BALANCE],ROW()-ROW(PaymentSchedule4[[#Headers],[BEGINNING BALANCE]])-1)),"")</f>
        <v>43173.431019411255</v>
      </c>
      <c r="E312" s="32">
        <f>IF(PaymentSchedule4[[#This Row],[PMT NO]]&lt;&gt;"",ScheduledPayment,"")</f>
        <v>760.02796473882097</v>
      </c>
      <c r="F31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1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12" s="32">
        <f>IF(PaymentSchedule4[[#This Row],[PMT NO]]&lt;&gt;"",PaymentSchedule4[[#This Row],[TOTAL PAYMENT]]-PaymentSchedule4[[#This Row],[INTEREST]],"")</f>
        <v>598.12759841602883</v>
      </c>
      <c r="I312" s="32">
        <f>IF(PaymentSchedule4[[#This Row],[PMT NO]]&lt;&gt;"",PaymentSchedule4[[#This Row],[BEGINNING BALANCE]]*(InterestRate/PaymentsPerYear),"")</f>
        <v>161.90036632279219</v>
      </c>
      <c r="J31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42575.303420995224</v>
      </c>
      <c r="K312" s="32">
        <f>IF(PaymentSchedule4[[#This Row],[PMT NO]]&lt;&gt;"",SUM(INDEX(PaymentSchedule4[INTEREST],1,1):PaymentSchedule4[[#This Row],[INTEREST]]),"")</f>
        <v>118303.60894842495</v>
      </c>
    </row>
    <row r="313" spans="2:11" x14ac:dyDescent="0.3">
      <c r="B313" s="30">
        <f>IF(LoanIsGood,IF(ROW()-ROW(PaymentSchedule4[[#Headers],[PMT NO]])&gt;ScheduledNumberOfPayments,"",ROW()-ROW(PaymentSchedule4[[#Headers],[PMT NO]])),"")</f>
        <v>298</v>
      </c>
      <c r="C313" s="31">
        <f>IF(PaymentSchedule4[[#This Row],[PMT NO]]&lt;&gt;"",EOMONTH(LoanStartDate,ROW(PaymentSchedule4[[#This Row],[PMT NO]])-ROW(PaymentSchedule4[[#Headers],[PMT NO]])-2)+DAY(LoanStartDate),"")</f>
        <v>52413</v>
      </c>
      <c r="D313" s="32">
        <f>IF(PaymentSchedule4[[#This Row],[PMT NO]]&lt;&gt;"",IF(ROW()-ROW(PaymentSchedule4[[#Headers],[BEGINNING BALANCE]])=1,LoanAmount,INDEX(PaymentSchedule4[ENDING BALANCE],ROW()-ROW(PaymentSchedule4[[#Headers],[BEGINNING BALANCE]])-1)),"")</f>
        <v>42575.303420995224</v>
      </c>
      <c r="E313" s="32">
        <f>IF(PaymentSchedule4[[#This Row],[PMT NO]]&lt;&gt;"",ScheduledPayment,"")</f>
        <v>760.02796473882097</v>
      </c>
      <c r="F31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1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13" s="32">
        <f>IF(PaymentSchedule4[[#This Row],[PMT NO]]&lt;&gt;"",PaymentSchedule4[[#This Row],[TOTAL PAYMENT]]-PaymentSchedule4[[#This Row],[INTEREST]],"")</f>
        <v>600.37057691008886</v>
      </c>
      <c r="I313" s="32">
        <f>IF(PaymentSchedule4[[#This Row],[PMT NO]]&lt;&gt;"",PaymentSchedule4[[#This Row],[BEGINNING BALANCE]]*(InterestRate/PaymentsPerYear),"")</f>
        <v>159.65738782873208</v>
      </c>
      <c r="J31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41974.932844085139</v>
      </c>
      <c r="K313" s="32">
        <f>IF(PaymentSchedule4[[#This Row],[PMT NO]]&lt;&gt;"",SUM(INDEX(PaymentSchedule4[INTEREST],1,1):PaymentSchedule4[[#This Row],[INTEREST]]),"")</f>
        <v>118463.26633625368</v>
      </c>
    </row>
    <row r="314" spans="2:11" x14ac:dyDescent="0.3">
      <c r="B314" s="30">
        <f>IF(LoanIsGood,IF(ROW()-ROW(PaymentSchedule4[[#Headers],[PMT NO]])&gt;ScheduledNumberOfPayments,"",ROW()-ROW(PaymentSchedule4[[#Headers],[PMT NO]])),"")</f>
        <v>299</v>
      </c>
      <c r="C314" s="31">
        <f>IF(PaymentSchedule4[[#This Row],[PMT NO]]&lt;&gt;"",EOMONTH(LoanStartDate,ROW(PaymentSchedule4[[#This Row],[PMT NO]])-ROW(PaymentSchedule4[[#Headers],[PMT NO]])-2)+DAY(LoanStartDate),"")</f>
        <v>52444</v>
      </c>
      <c r="D314" s="32">
        <f>IF(PaymentSchedule4[[#This Row],[PMT NO]]&lt;&gt;"",IF(ROW()-ROW(PaymentSchedule4[[#Headers],[BEGINNING BALANCE]])=1,LoanAmount,INDEX(PaymentSchedule4[ENDING BALANCE],ROW()-ROW(PaymentSchedule4[[#Headers],[BEGINNING BALANCE]])-1)),"")</f>
        <v>41974.932844085139</v>
      </c>
      <c r="E314" s="32">
        <f>IF(PaymentSchedule4[[#This Row],[PMT NO]]&lt;&gt;"",ScheduledPayment,"")</f>
        <v>760.02796473882097</v>
      </c>
      <c r="F31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1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14" s="32">
        <f>IF(PaymentSchedule4[[#This Row],[PMT NO]]&lt;&gt;"",PaymentSchedule4[[#This Row],[TOTAL PAYMENT]]-PaymentSchedule4[[#This Row],[INTEREST]],"")</f>
        <v>602.62196657350171</v>
      </c>
      <c r="I314" s="32">
        <f>IF(PaymentSchedule4[[#This Row],[PMT NO]]&lt;&gt;"",PaymentSchedule4[[#This Row],[BEGINNING BALANCE]]*(InterestRate/PaymentsPerYear),"")</f>
        <v>157.40599816531926</v>
      </c>
      <c r="J31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41372.310877511634</v>
      </c>
      <c r="K314" s="32">
        <f>IF(PaymentSchedule4[[#This Row],[PMT NO]]&lt;&gt;"",SUM(INDEX(PaymentSchedule4[INTEREST],1,1):PaymentSchedule4[[#This Row],[INTEREST]]),"")</f>
        <v>118620.67233441901</v>
      </c>
    </row>
    <row r="315" spans="2:11" x14ac:dyDescent="0.3">
      <c r="B315" s="30">
        <f>IF(LoanIsGood,IF(ROW()-ROW(PaymentSchedule4[[#Headers],[PMT NO]])&gt;ScheduledNumberOfPayments,"",ROW()-ROW(PaymentSchedule4[[#Headers],[PMT NO]])),"")</f>
        <v>300</v>
      </c>
      <c r="C315" s="31">
        <f>IF(PaymentSchedule4[[#This Row],[PMT NO]]&lt;&gt;"",EOMONTH(LoanStartDate,ROW(PaymentSchedule4[[#This Row],[PMT NO]])-ROW(PaymentSchedule4[[#Headers],[PMT NO]])-2)+DAY(LoanStartDate),"")</f>
        <v>52475</v>
      </c>
      <c r="D315" s="32">
        <f>IF(PaymentSchedule4[[#This Row],[PMT NO]]&lt;&gt;"",IF(ROW()-ROW(PaymentSchedule4[[#Headers],[BEGINNING BALANCE]])=1,LoanAmount,INDEX(PaymentSchedule4[ENDING BALANCE],ROW()-ROW(PaymentSchedule4[[#Headers],[BEGINNING BALANCE]])-1)),"")</f>
        <v>41372.310877511634</v>
      </c>
      <c r="E315" s="32">
        <f>IF(PaymentSchedule4[[#This Row],[PMT NO]]&lt;&gt;"",ScheduledPayment,"")</f>
        <v>760.02796473882097</v>
      </c>
      <c r="F31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1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15" s="32">
        <f>IF(PaymentSchedule4[[#This Row],[PMT NO]]&lt;&gt;"",PaymentSchedule4[[#This Row],[TOTAL PAYMENT]]-PaymentSchedule4[[#This Row],[INTEREST]],"")</f>
        <v>604.88179894815232</v>
      </c>
      <c r="I315" s="32">
        <f>IF(PaymentSchedule4[[#This Row],[PMT NO]]&lt;&gt;"",PaymentSchedule4[[#This Row],[BEGINNING BALANCE]]*(InterestRate/PaymentsPerYear),"")</f>
        <v>155.14616579066862</v>
      </c>
      <c r="J31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40767.42907856348</v>
      </c>
      <c r="K315" s="32">
        <f>IF(PaymentSchedule4[[#This Row],[PMT NO]]&lt;&gt;"",SUM(INDEX(PaymentSchedule4[INTEREST],1,1):PaymentSchedule4[[#This Row],[INTEREST]]),"")</f>
        <v>118775.81850020967</v>
      </c>
    </row>
    <row r="316" spans="2:11" x14ac:dyDescent="0.3">
      <c r="B316" s="30">
        <f>IF(LoanIsGood,IF(ROW()-ROW(PaymentSchedule4[[#Headers],[PMT NO]])&gt;ScheduledNumberOfPayments,"",ROW()-ROW(PaymentSchedule4[[#Headers],[PMT NO]])),"")</f>
        <v>301</v>
      </c>
      <c r="C316" s="31">
        <f>IF(PaymentSchedule4[[#This Row],[PMT NO]]&lt;&gt;"",EOMONTH(LoanStartDate,ROW(PaymentSchedule4[[#This Row],[PMT NO]])-ROW(PaymentSchedule4[[#Headers],[PMT NO]])-2)+DAY(LoanStartDate),"")</f>
        <v>52505</v>
      </c>
      <c r="D316" s="32">
        <f>IF(PaymentSchedule4[[#This Row],[PMT NO]]&lt;&gt;"",IF(ROW()-ROW(PaymentSchedule4[[#Headers],[BEGINNING BALANCE]])=1,LoanAmount,INDEX(PaymentSchedule4[ENDING BALANCE],ROW()-ROW(PaymentSchedule4[[#Headers],[BEGINNING BALANCE]])-1)),"")</f>
        <v>40767.42907856348</v>
      </c>
      <c r="E316" s="32">
        <f>IF(PaymentSchedule4[[#This Row],[PMT NO]]&lt;&gt;"",ScheduledPayment,"")</f>
        <v>760.02796473882097</v>
      </c>
      <c r="F31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1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16" s="32">
        <f>IF(PaymentSchedule4[[#This Row],[PMT NO]]&lt;&gt;"",PaymentSchedule4[[#This Row],[TOTAL PAYMENT]]-PaymentSchedule4[[#This Row],[INTEREST]],"")</f>
        <v>607.15010569420792</v>
      </c>
      <c r="I316" s="32">
        <f>IF(PaymentSchedule4[[#This Row],[PMT NO]]&lt;&gt;"",PaymentSchedule4[[#This Row],[BEGINNING BALANCE]]*(InterestRate/PaymentsPerYear),"")</f>
        <v>152.87785904461305</v>
      </c>
      <c r="J31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40160.278972869273</v>
      </c>
      <c r="K316" s="32">
        <f>IF(PaymentSchedule4[[#This Row],[PMT NO]]&lt;&gt;"",SUM(INDEX(PaymentSchedule4[INTEREST],1,1):PaymentSchedule4[[#This Row],[INTEREST]]),"")</f>
        <v>118928.69635925429</v>
      </c>
    </row>
    <row r="317" spans="2:11" x14ac:dyDescent="0.3">
      <c r="B317" s="30">
        <f>IF(LoanIsGood,IF(ROW()-ROW(PaymentSchedule4[[#Headers],[PMT NO]])&gt;ScheduledNumberOfPayments,"",ROW()-ROW(PaymentSchedule4[[#Headers],[PMT NO]])),"")</f>
        <v>302</v>
      </c>
      <c r="C317" s="31">
        <f>IF(PaymentSchedule4[[#This Row],[PMT NO]]&lt;&gt;"",EOMONTH(LoanStartDate,ROW(PaymentSchedule4[[#This Row],[PMT NO]])-ROW(PaymentSchedule4[[#Headers],[PMT NO]])-2)+DAY(LoanStartDate),"")</f>
        <v>52536</v>
      </c>
      <c r="D317" s="32">
        <f>IF(PaymentSchedule4[[#This Row],[PMT NO]]&lt;&gt;"",IF(ROW()-ROW(PaymentSchedule4[[#Headers],[BEGINNING BALANCE]])=1,LoanAmount,INDEX(PaymentSchedule4[ENDING BALANCE],ROW()-ROW(PaymentSchedule4[[#Headers],[BEGINNING BALANCE]])-1)),"")</f>
        <v>40160.278972869273</v>
      </c>
      <c r="E317" s="32">
        <f>IF(PaymentSchedule4[[#This Row],[PMT NO]]&lt;&gt;"",ScheduledPayment,"")</f>
        <v>760.02796473882097</v>
      </c>
      <c r="F31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1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17" s="32">
        <f>IF(PaymentSchedule4[[#This Row],[PMT NO]]&lt;&gt;"",PaymentSchedule4[[#This Row],[TOTAL PAYMENT]]-PaymentSchedule4[[#This Row],[INTEREST]],"")</f>
        <v>609.42691859056117</v>
      </c>
      <c r="I317" s="32">
        <f>IF(PaymentSchedule4[[#This Row],[PMT NO]]&lt;&gt;"",PaymentSchedule4[[#This Row],[BEGINNING BALANCE]]*(InterestRate/PaymentsPerYear),"")</f>
        <v>150.60104614825977</v>
      </c>
      <c r="J31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39550.852054278716</v>
      </c>
      <c r="K317" s="32">
        <f>IF(PaymentSchedule4[[#This Row],[PMT NO]]&lt;&gt;"",SUM(INDEX(PaymentSchedule4[INTEREST],1,1):PaymentSchedule4[[#This Row],[INTEREST]]),"")</f>
        <v>119079.29740540255</v>
      </c>
    </row>
    <row r="318" spans="2:11" x14ac:dyDescent="0.3">
      <c r="B318" s="30">
        <f>IF(LoanIsGood,IF(ROW()-ROW(PaymentSchedule4[[#Headers],[PMT NO]])&gt;ScheduledNumberOfPayments,"",ROW()-ROW(PaymentSchedule4[[#Headers],[PMT NO]])),"")</f>
        <v>303</v>
      </c>
      <c r="C318" s="31">
        <f>IF(PaymentSchedule4[[#This Row],[PMT NO]]&lt;&gt;"",EOMONTH(LoanStartDate,ROW(PaymentSchedule4[[#This Row],[PMT NO]])-ROW(PaymentSchedule4[[#Headers],[PMT NO]])-2)+DAY(LoanStartDate),"")</f>
        <v>52566</v>
      </c>
      <c r="D318" s="32">
        <f>IF(PaymentSchedule4[[#This Row],[PMT NO]]&lt;&gt;"",IF(ROW()-ROW(PaymentSchedule4[[#Headers],[BEGINNING BALANCE]])=1,LoanAmount,INDEX(PaymentSchedule4[ENDING BALANCE],ROW()-ROW(PaymentSchedule4[[#Headers],[BEGINNING BALANCE]])-1)),"")</f>
        <v>39550.852054278716</v>
      </c>
      <c r="E318" s="32">
        <f>IF(PaymentSchedule4[[#This Row],[PMT NO]]&lt;&gt;"",ScheduledPayment,"")</f>
        <v>760.02796473882097</v>
      </c>
      <c r="F31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1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18" s="32">
        <f>IF(PaymentSchedule4[[#This Row],[PMT NO]]&lt;&gt;"",PaymentSchedule4[[#This Row],[TOTAL PAYMENT]]-PaymentSchedule4[[#This Row],[INTEREST]],"")</f>
        <v>611.71226953527582</v>
      </c>
      <c r="I318" s="32">
        <f>IF(PaymentSchedule4[[#This Row],[PMT NO]]&lt;&gt;"",PaymentSchedule4[[#This Row],[BEGINNING BALANCE]]*(InterestRate/PaymentsPerYear),"")</f>
        <v>148.31569520354518</v>
      </c>
      <c r="J31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38939.139784743442</v>
      </c>
      <c r="K318" s="32">
        <f>IF(PaymentSchedule4[[#This Row],[PMT NO]]&lt;&gt;"",SUM(INDEX(PaymentSchedule4[INTEREST],1,1):PaymentSchedule4[[#This Row],[INTEREST]]),"")</f>
        <v>119227.6131006061</v>
      </c>
    </row>
    <row r="319" spans="2:11" x14ac:dyDescent="0.3">
      <c r="B319" s="30">
        <f>IF(LoanIsGood,IF(ROW()-ROW(PaymentSchedule4[[#Headers],[PMT NO]])&gt;ScheduledNumberOfPayments,"",ROW()-ROW(PaymentSchedule4[[#Headers],[PMT NO]])),"")</f>
        <v>304</v>
      </c>
      <c r="C319" s="31">
        <f>IF(PaymentSchedule4[[#This Row],[PMT NO]]&lt;&gt;"",EOMONTH(LoanStartDate,ROW(PaymentSchedule4[[#This Row],[PMT NO]])-ROW(PaymentSchedule4[[#Headers],[PMT NO]])-2)+DAY(LoanStartDate),"")</f>
        <v>52597</v>
      </c>
      <c r="D319" s="32">
        <f>IF(PaymentSchedule4[[#This Row],[PMT NO]]&lt;&gt;"",IF(ROW()-ROW(PaymentSchedule4[[#Headers],[BEGINNING BALANCE]])=1,LoanAmount,INDEX(PaymentSchedule4[ENDING BALANCE],ROW()-ROW(PaymentSchedule4[[#Headers],[BEGINNING BALANCE]])-1)),"")</f>
        <v>38939.139784743442</v>
      </c>
      <c r="E319" s="32">
        <f>IF(PaymentSchedule4[[#This Row],[PMT NO]]&lt;&gt;"",ScheduledPayment,"")</f>
        <v>760.02796473882097</v>
      </c>
      <c r="F31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1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19" s="32">
        <f>IF(PaymentSchedule4[[#This Row],[PMT NO]]&lt;&gt;"",PaymentSchedule4[[#This Row],[TOTAL PAYMENT]]-PaymentSchedule4[[#This Row],[INTEREST]],"")</f>
        <v>614.00619054603305</v>
      </c>
      <c r="I319" s="32">
        <f>IF(PaymentSchedule4[[#This Row],[PMT NO]]&lt;&gt;"",PaymentSchedule4[[#This Row],[BEGINNING BALANCE]]*(InterestRate/PaymentsPerYear),"")</f>
        <v>146.02177419278789</v>
      </c>
      <c r="J31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38325.13359419741</v>
      </c>
      <c r="K319" s="32">
        <f>IF(PaymentSchedule4[[#This Row],[PMT NO]]&lt;&gt;"",SUM(INDEX(PaymentSchedule4[INTEREST],1,1):PaymentSchedule4[[#This Row],[INTEREST]]),"")</f>
        <v>119373.6348747989</v>
      </c>
    </row>
    <row r="320" spans="2:11" x14ac:dyDescent="0.3">
      <c r="B320" s="30">
        <f>IF(LoanIsGood,IF(ROW()-ROW(PaymentSchedule4[[#Headers],[PMT NO]])&gt;ScheduledNumberOfPayments,"",ROW()-ROW(PaymentSchedule4[[#Headers],[PMT NO]])),"")</f>
        <v>305</v>
      </c>
      <c r="C320" s="31">
        <f>IF(PaymentSchedule4[[#This Row],[PMT NO]]&lt;&gt;"",EOMONTH(LoanStartDate,ROW(PaymentSchedule4[[#This Row],[PMT NO]])-ROW(PaymentSchedule4[[#Headers],[PMT NO]])-2)+DAY(LoanStartDate),"")</f>
        <v>52628</v>
      </c>
      <c r="D320" s="32">
        <f>IF(PaymentSchedule4[[#This Row],[PMT NO]]&lt;&gt;"",IF(ROW()-ROW(PaymentSchedule4[[#Headers],[BEGINNING BALANCE]])=1,LoanAmount,INDEX(PaymentSchedule4[ENDING BALANCE],ROW()-ROW(PaymentSchedule4[[#Headers],[BEGINNING BALANCE]])-1)),"")</f>
        <v>38325.13359419741</v>
      </c>
      <c r="E320" s="32">
        <f>IF(PaymentSchedule4[[#This Row],[PMT NO]]&lt;&gt;"",ScheduledPayment,"")</f>
        <v>760.02796473882097</v>
      </c>
      <c r="F32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2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20" s="32">
        <f>IF(PaymentSchedule4[[#This Row],[PMT NO]]&lt;&gt;"",PaymentSchedule4[[#This Row],[TOTAL PAYMENT]]-PaymentSchedule4[[#This Row],[INTEREST]],"")</f>
        <v>616.30871376058064</v>
      </c>
      <c r="I320" s="32">
        <f>IF(PaymentSchedule4[[#This Row],[PMT NO]]&lt;&gt;"",PaymentSchedule4[[#This Row],[BEGINNING BALANCE]]*(InterestRate/PaymentsPerYear),"")</f>
        <v>143.7192509782403</v>
      </c>
      <c r="J32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37708.824880436827</v>
      </c>
      <c r="K320" s="32">
        <f>IF(PaymentSchedule4[[#This Row],[PMT NO]]&lt;&gt;"",SUM(INDEX(PaymentSchedule4[INTEREST],1,1):PaymentSchedule4[[#This Row],[INTEREST]]),"")</f>
        <v>119517.35412577714</v>
      </c>
    </row>
    <row r="321" spans="2:11" x14ac:dyDescent="0.3">
      <c r="B321" s="30">
        <f>IF(LoanIsGood,IF(ROW()-ROW(PaymentSchedule4[[#Headers],[PMT NO]])&gt;ScheduledNumberOfPayments,"",ROW()-ROW(PaymentSchedule4[[#Headers],[PMT NO]])),"")</f>
        <v>306</v>
      </c>
      <c r="C321" s="31">
        <f>IF(PaymentSchedule4[[#This Row],[PMT NO]]&lt;&gt;"",EOMONTH(LoanStartDate,ROW(PaymentSchedule4[[#This Row],[PMT NO]])-ROW(PaymentSchedule4[[#Headers],[PMT NO]])-2)+DAY(LoanStartDate),"")</f>
        <v>52657</v>
      </c>
      <c r="D321" s="32">
        <f>IF(PaymentSchedule4[[#This Row],[PMT NO]]&lt;&gt;"",IF(ROW()-ROW(PaymentSchedule4[[#Headers],[BEGINNING BALANCE]])=1,LoanAmount,INDEX(PaymentSchedule4[ENDING BALANCE],ROW()-ROW(PaymentSchedule4[[#Headers],[BEGINNING BALANCE]])-1)),"")</f>
        <v>37708.824880436827</v>
      </c>
      <c r="E321" s="32">
        <f>IF(PaymentSchedule4[[#This Row],[PMT NO]]&lt;&gt;"",ScheduledPayment,"")</f>
        <v>760.02796473882097</v>
      </c>
      <c r="F32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2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21" s="32">
        <f>IF(PaymentSchedule4[[#This Row],[PMT NO]]&lt;&gt;"",PaymentSchedule4[[#This Row],[TOTAL PAYMENT]]-PaymentSchedule4[[#This Row],[INTEREST]],"")</f>
        <v>618.61987143718284</v>
      </c>
      <c r="I321" s="32">
        <f>IF(PaymentSchedule4[[#This Row],[PMT NO]]&lt;&gt;"",PaymentSchedule4[[#This Row],[BEGINNING BALANCE]]*(InterestRate/PaymentsPerYear),"")</f>
        <v>141.4080933016381</v>
      </c>
      <c r="J32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37090.205008999641</v>
      </c>
      <c r="K321" s="32">
        <f>IF(PaymentSchedule4[[#This Row],[PMT NO]]&lt;&gt;"",SUM(INDEX(PaymentSchedule4[INTEREST],1,1):PaymentSchedule4[[#This Row],[INTEREST]]),"")</f>
        <v>119658.76221907878</v>
      </c>
    </row>
    <row r="322" spans="2:11" x14ac:dyDescent="0.3">
      <c r="B322" s="30">
        <f>IF(LoanIsGood,IF(ROW()-ROW(PaymentSchedule4[[#Headers],[PMT NO]])&gt;ScheduledNumberOfPayments,"",ROW()-ROW(PaymentSchedule4[[#Headers],[PMT NO]])),"")</f>
        <v>307</v>
      </c>
      <c r="C322" s="31">
        <f>IF(PaymentSchedule4[[#This Row],[PMT NO]]&lt;&gt;"",EOMONTH(LoanStartDate,ROW(PaymentSchedule4[[#This Row],[PMT NO]])-ROW(PaymentSchedule4[[#Headers],[PMT NO]])-2)+DAY(LoanStartDate),"")</f>
        <v>52688</v>
      </c>
      <c r="D322" s="32">
        <f>IF(PaymentSchedule4[[#This Row],[PMT NO]]&lt;&gt;"",IF(ROW()-ROW(PaymentSchedule4[[#Headers],[BEGINNING BALANCE]])=1,LoanAmount,INDEX(PaymentSchedule4[ENDING BALANCE],ROW()-ROW(PaymentSchedule4[[#Headers],[BEGINNING BALANCE]])-1)),"")</f>
        <v>37090.205008999641</v>
      </c>
      <c r="E322" s="32">
        <f>IF(PaymentSchedule4[[#This Row],[PMT NO]]&lt;&gt;"",ScheduledPayment,"")</f>
        <v>760.02796473882097</v>
      </c>
      <c r="F32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2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22" s="32">
        <f>IF(PaymentSchedule4[[#This Row],[PMT NO]]&lt;&gt;"",PaymentSchedule4[[#This Row],[TOTAL PAYMENT]]-PaymentSchedule4[[#This Row],[INTEREST]],"")</f>
        <v>620.93969595507235</v>
      </c>
      <c r="I322" s="32">
        <f>IF(PaymentSchedule4[[#This Row],[PMT NO]]&lt;&gt;"",PaymentSchedule4[[#This Row],[BEGINNING BALANCE]]*(InterestRate/PaymentsPerYear),"")</f>
        <v>139.08826878374865</v>
      </c>
      <c r="J32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36469.265313044569</v>
      </c>
      <c r="K322" s="32">
        <f>IF(PaymentSchedule4[[#This Row],[PMT NO]]&lt;&gt;"",SUM(INDEX(PaymentSchedule4[INTEREST],1,1):PaymentSchedule4[[#This Row],[INTEREST]]),"")</f>
        <v>119797.85048786252</v>
      </c>
    </row>
    <row r="323" spans="2:11" x14ac:dyDescent="0.3">
      <c r="B323" s="30">
        <f>IF(LoanIsGood,IF(ROW()-ROW(PaymentSchedule4[[#Headers],[PMT NO]])&gt;ScheduledNumberOfPayments,"",ROW()-ROW(PaymentSchedule4[[#Headers],[PMT NO]])),"")</f>
        <v>308</v>
      </c>
      <c r="C323" s="31">
        <f>IF(PaymentSchedule4[[#This Row],[PMT NO]]&lt;&gt;"",EOMONTH(LoanStartDate,ROW(PaymentSchedule4[[#This Row],[PMT NO]])-ROW(PaymentSchedule4[[#Headers],[PMT NO]])-2)+DAY(LoanStartDate),"")</f>
        <v>52718</v>
      </c>
      <c r="D323" s="32">
        <f>IF(PaymentSchedule4[[#This Row],[PMT NO]]&lt;&gt;"",IF(ROW()-ROW(PaymentSchedule4[[#Headers],[BEGINNING BALANCE]])=1,LoanAmount,INDEX(PaymentSchedule4[ENDING BALANCE],ROW()-ROW(PaymentSchedule4[[#Headers],[BEGINNING BALANCE]])-1)),"")</f>
        <v>36469.265313044569</v>
      </c>
      <c r="E323" s="32">
        <f>IF(PaymentSchedule4[[#This Row],[PMT NO]]&lt;&gt;"",ScheduledPayment,"")</f>
        <v>760.02796473882097</v>
      </c>
      <c r="F32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2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23" s="32">
        <f>IF(PaymentSchedule4[[#This Row],[PMT NO]]&lt;&gt;"",PaymentSchedule4[[#This Row],[TOTAL PAYMENT]]-PaymentSchedule4[[#This Row],[INTEREST]],"")</f>
        <v>623.26821981490389</v>
      </c>
      <c r="I323" s="32">
        <f>IF(PaymentSchedule4[[#This Row],[PMT NO]]&lt;&gt;"",PaymentSchedule4[[#This Row],[BEGINNING BALANCE]]*(InterestRate/PaymentsPerYear),"")</f>
        <v>136.75974492391714</v>
      </c>
      <c r="J32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35845.997093229664</v>
      </c>
      <c r="K323" s="32">
        <f>IF(PaymentSchedule4[[#This Row],[PMT NO]]&lt;&gt;"",SUM(INDEX(PaymentSchedule4[INTEREST],1,1):PaymentSchedule4[[#This Row],[INTEREST]]),"")</f>
        <v>119934.61023278644</v>
      </c>
    </row>
    <row r="324" spans="2:11" x14ac:dyDescent="0.3">
      <c r="B324" s="30">
        <f>IF(LoanIsGood,IF(ROW()-ROW(PaymentSchedule4[[#Headers],[PMT NO]])&gt;ScheduledNumberOfPayments,"",ROW()-ROW(PaymentSchedule4[[#Headers],[PMT NO]])),"")</f>
        <v>309</v>
      </c>
      <c r="C324" s="31">
        <f>IF(PaymentSchedule4[[#This Row],[PMT NO]]&lt;&gt;"",EOMONTH(LoanStartDate,ROW(PaymentSchedule4[[#This Row],[PMT NO]])-ROW(PaymentSchedule4[[#Headers],[PMT NO]])-2)+DAY(LoanStartDate),"")</f>
        <v>52749</v>
      </c>
      <c r="D324" s="32">
        <f>IF(PaymentSchedule4[[#This Row],[PMT NO]]&lt;&gt;"",IF(ROW()-ROW(PaymentSchedule4[[#Headers],[BEGINNING BALANCE]])=1,LoanAmount,INDEX(PaymentSchedule4[ENDING BALANCE],ROW()-ROW(PaymentSchedule4[[#Headers],[BEGINNING BALANCE]])-1)),"")</f>
        <v>35845.997093229664</v>
      </c>
      <c r="E324" s="32">
        <f>IF(PaymentSchedule4[[#This Row],[PMT NO]]&lt;&gt;"",ScheduledPayment,"")</f>
        <v>760.02796473882097</v>
      </c>
      <c r="F32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2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24" s="32">
        <f>IF(PaymentSchedule4[[#This Row],[PMT NO]]&lt;&gt;"",PaymentSchedule4[[#This Row],[TOTAL PAYMENT]]-PaymentSchedule4[[#This Row],[INTEREST]],"")</f>
        <v>625.60547563920977</v>
      </c>
      <c r="I324" s="32">
        <f>IF(PaymentSchedule4[[#This Row],[PMT NO]]&lt;&gt;"",PaymentSchedule4[[#This Row],[BEGINNING BALANCE]]*(InterestRate/PaymentsPerYear),"")</f>
        <v>134.42248909961123</v>
      </c>
      <c r="J32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35220.391617590452</v>
      </c>
      <c r="K324" s="32">
        <f>IF(PaymentSchedule4[[#This Row],[PMT NO]]&lt;&gt;"",SUM(INDEX(PaymentSchedule4[INTEREST],1,1):PaymentSchedule4[[#This Row],[INTEREST]]),"")</f>
        <v>120069.03272188605</v>
      </c>
    </row>
    <row r="325" spans="2:11" x14ac:dyDescent="0.3">
      <c r="B325" s="30">
        <f>IF(LoanIsGood,IF(ROW()-ROW(PaymentSchedule4[[#Headers],[PMT NO]])&gt;ScheduledNumberOfPayments,"",ROW()-ROW(PaymentSchedule4[[#Headers],[PMT NO]])),"")</f>
        <v>310</v>
      </c>
      <c r="C325" s="31">
        <f>IF(PaymentSchedule4[[#This Row],[PMT NO]]&lt;&gt;"",EOMONTH(LoanStartDate,ROW(PaymentSchedule4[[#This Row],[PMT NO]])-ROW(PaymentSchedule4[[#Headers],[PMT NO]])-2)+DAY(LoanStartDate),"")</f>
        <v>52779</v>
      </c>
      <c r="D325" s="32">
        <f>IF(PaymentSchedule4[[#This Row],[PMT NO]]&lt;&gt;"",IF(ROW()-ROW(PaymentSchedule4[[#Headers],[BEGINNING BALANCE]])=1,LoanAmount,INDEX(PaymentSchedule4[ENDING BALANCE],ROW()-ROW(PaymentSchedule4[[#Headers],[BEGINNING BALANCE]])-1)),"")</f>
        <v>35220.391617590452</v>
      </c>
      <c r="E325" s="32">
        <f>IF(PaymentSchedule4[[#This Row],[PMT NO]]&lt;&gt;"",ScheduledPayment,"")</f>
        <v>760.02796473882097</v>
      </c>
      <c r="F32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2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25" s="32">
        <f>IF(PaymentSchedule4[[#This Row],[PMT NO]]&lt;&gt;"",PaymentSchedule4[[#This Row],[TOTAL PAYMENT]]-PaymentSchedule4[[#This Row],[INTEREST]],"")</f>
        <v>627.95149617285676</v>
      </c>
      <c r="I325" s="32">
        <f>IF(PaymentSchedule4[[#This Row],[PMT NO]]&lt;&gt;"",PaymentSchedule4[[#This Row],[BEGINNING BALANCE]]*(InterestRate/PaymentsPerYear),"")</f>
        <v>132.07646856596421</v>
      </c>
      <c r="J32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34592.440121417596</v>
      </c>
      <c r="K325" s="32">
        <f>IF(PaymentSchedule4[[#This Row],[PMT NO]]&lt;&gt;"",SUM(INDEX(PaymentSchedule4[INTEREST],1,1):PaymentSchedule4[[#This Row],[INTEREST]]),"")</f>
        <v>120201.10919045201</v>
      </c>
    </row>
    <row r="326" spans="2:11" x14ac:dyDescent="0.3">
      <c r="B326" s="30">
        <f>IF(LoanIsGood,IF(ROW()-ROW(PaymentSchedule4[[#Headers],[PMT NO]])&gt;ScheduledNumberOfPayments,"",ROW()-ROW(PaymentSchedule4[[#Headers],[PMT NO]])),"")</f>
        <v>311</v>
      </c>
      <c r="C326" s="31">
        <f>IF(PaymentSchedule4[[#This Row],[PMT NO]]&lt;&gt;"",EOMONTH(LoanStartDate,ROW(PaymentSchedule4[[#This Row],[PMT NO]])-ROW(PaymentSchedule4[[#Headers],[PMT NO]])-2)+DAY(LoanStartDate),"")</f>
        <v>52810</v>
      </c>
      <c r="D326" s="32">
        <f>IF(PaymentSchedule4[[#This Row],[PMT NO]]&lt;&gt;"",IF(ROW()-ROW(PaymentSchedule4[[#Headers],[BEGINNING BALANCE]])=1,LoanAmount,INDEX(PaymentSchedule4[ENDING BALANCE],ROW()-ROW(PaymentSchedule4[[#Headers],[BEGINNING BALANCE]])-1)),"")</f>
        <v>34592.440121417596</v>
      </c>
      <c r="E326" s="32">
        <f>IF(PaymentSchedule4[[#This Row],[PMT NO]]&lt;&gt;"",ScheduledPayment,"")</f>
        <v>760.02796473882097</v>
      </c>
      <c r="F32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2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26" s="32">
        <f>IF(PaymentSchedule4[[#This Row],[PMT NO]]&lt;&gt;"",PaymentSchedule4[[#This Row],[TOTAL PAYMENT]]-PaymentSchedule4[[#This Row],[INTEREST]],"")</f>
        <v>630.306314283505</v>
      </c>
      <c r="I326" s="32">
        <f>IF(PaymentSchedule4[[#This Row],[PMT NO]]&lt;&gt;"",PaymentSchedule4[[#This Row],[BEGINNING BALANCE]]*(InterestRate/PaymentsPerYear),"")</f>
        <v>129.72165045531597</v>
      </c>
      <c r="J32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33962.133807134094</v>
      </c>
      <c r="K326" s="32">
        <f>IF(PaymentSchedule4[[#This Row],[PMT NO]]&lt;&gt;"",SUM(INDEX(PaymentSchedule4[INTEREST],1,1):PaymentSchedule4[[#This Row],[INTEREST]]),"")</f>
        <v>120330.83084090734</v>
      </c>
    </row>
    <row r="327" spans="2:11" x14ac:dyDescent="0.3">
      <c r="B327" s="30">
        <f>IF(LoanIsGood,IF(ROW()-ROW(PaymentSchedule4[[#Headers],[PMT NO]])&gt;ScheduledNumberOfPayments,"",ROW()-ROW(PaymentSchedule4[[#Headers],[PMT NO]])),"")</f>
        <v>312</v>
      </c>
      <c r="C327" s="31">
        <f>IF(PaymentSchedule4[[#This Row],[PMT NO]]&lt;&gt;"",EOMONTH(LoanStartDate,ROW(PaymentSchedule4[[#This Row],[PMT NO]])-ROW(PaymentSchedule4[[#Headers],[PMT NO]])-2)+DAY(LoanStartDate),"")</f>
        <v>52841</v>
      </c>
      <c r="D327" s="32">
        <f>IF(PaymentSchedule4[[#This Row],[PMT NO]]&lt;&gt;"",IF(ROW()-ROW(PaymentSchedule4[[#Headers],[BEGINNING BALANCE]])=1,LoanAmount,INDEX(PaymentSchedule4[ENDING BALANCE],ROW()-ROW(PaymentSchedule4[[#Headers],[BEGINNING BALANCE]])-1)),"")</f>
        <v>33962.133807134094</v>
      </c>
      <c r="E327" s="32">
        <f>IF(PaymentSchedule4[[#This Row],[PMT NO]]&lt;&gt;"",ScheduledPayment,"")</f>
        <v>760.02796473882097</v>
      </c>
      <c r="F32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2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27" s="32">
        <f>IF(PaymentSchedule4[[#This Row],[PMT NO]]&lt;&gt;"",PaymentSchedule4[[#This Row],[TOTAL PAYMENT]]-PaymentSchedule4[[#This Row],[INTEREST]],"")</f>
        <v>632.6699629620681</v>
      </c>
      <c r="I327" s="32">
        <f>IF(PaymentSchedule4[[#This Row],[PMT NO]]&lt;&gt;"",PaymentSchedule4[[#This Row],[BEGINNING BALANCE]]*(InterestRate/PaymentsPerYear),"")</f>
        <v>127.35800177675284</v>
      </c>
      <c r="J32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33329.463844172024</v>
      </c>
      <c r="K327" s="32">
        <f>IF(PaymentSchedule4[[#This Row],[PMT NO]]&lt;&gt;"",SUM(INDEX(PaymentSchedule4[INTEREST],1,1):PaymentSchedule4[[#This Row],[INTEREST]]),"")</f>
        <v>120458.18884268409</v>
      </c>
    </row>
    <row r="328" spans="2:11" x14ac:dyDescent="0.3">
      <c r="B328" s="30">
        <f>IF(LoanIsGood,IF(ROW()-ROW(PaymentSchedule4[[#Headers],[PMT NO]])&gt;ScheduledNumberOfPayments,"",ROW()-ROW(PaymentSchedule4[[#Headers],[PMT NO]])),"")</f>
        <v>313</v>
      </c>
      <c r="C328" s="31">
        <f>IF(PaymentSchedule4[[#This Row],[PMT NO]]&lt;&gt;"",EOMONTH(LoanStartDate,ROW(PaymentSchedule4[[#This Row],[PMT NO]])-ROW(PaymentSchedule4[[#Headers],[PMT NO]])-2)+DAY(LoanStartDate),"")</f>
        <v>52871</v>
      </c>
      <c r="D328" s="32">
        <f>IF(PaymentSchedule4[[#This Row],[PMT NO]]&lt;&gt;"",IF(ROW()-ROW(PaymentSchedule4[[#Headers],[BEGINNING BALANCE]])=1,LoanAmount,INDEX(PaymentSchedule4[ENDING BALANCE],ROW()-ROW(PaymentSchedule4[[#Headers],[BEGINNING BALANCE]])-1)),"")</f>
        <v>33329.463844172024</v>
      </c>
      <c r="E328" s="32">
        <f>IF(PaymentSchedule4[[#This Row],[PMT NO]]&lt;&gt;"",ScheduledPayment,"")</f>
        <v>760.02796473882097</v>
      </c>
      <c r="F32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2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28" s="32">
        <f>IF(PaymentSchedule4[[#This Row],[PMT NO]]&lt;&gt;"",PaymentSchedule4[[#This Row],[TOTAL PAYMENT]]-PaymentSchedule4[[#This Row],[INTEREST]],"")</f>
        <v>635.04247532317595</v>
      </c>
      <c r="I328" s="32">
        <f>IF(PaymentSchedule4[[#This Row],[PMT NO]]&lt;&gt;"",PaymentSchedule4[[#This Row],[BEGINNING BALANCE]]*(InterestRate/PaymentsPerYear),"")</f>
        <v>124.98548941564508</v>
      </c>
      <c r="J32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32694.421368848849</v>
      </c>
      <c r="K328" s="32">
        <f>IF(PaymentSchedule4[[#This Row],[PMT NO]]&lt;&gt;"",SUM(INDEX(PaymentSchedule4[INTEREST],1,1):PaymentSchedule4[[#This Row],[INTEREST]]),"")</f>
        <v>120583.17433209973</v>
      </c>
    </row>
    <row r="329" spans="2:11" x14ac:dyDescent="0.3">
      <c r="B329" s="30">
        <f>IF(LoanIsGood,IF(ROW()-ROW(PaymentSchedule4[[#Headers],[PMT NO]])&gt;ScheduledNumberOfPayments,"",ROW()-ROW(PaymentSchedule4[[#Headers],[PMT NO]])),"")</f>
        <v>314</v>
      </c>
      <c r="C329" s="31">
        <f>IF(PaymentSchedule4[[#This Row],[PMT NO]]&lt;&gt;"",EOMONTH(LoanStartDate,ROW(PaymentSchedule4[[#This Row],[PMT NO]])-ROW(PaymentSchedule4[[#Headers],[PMT NO]])-2)+DAY(LoanStartDate),"")</f>
        <v>52902</v>
      </c>
      <c r="D329" s="32">
        <f>IF(PaymentSchedule4[[#This Row],[PMT NO]]&lt;&gt;"",IF(ROW()-ROW(PaymentSchedule4[[#Headers],[BEGINNING BALANCE]])=1,LoanAmount,INDEX(PaymentSchedule4[ENDING BALANCE],ROW()-ROW(PaymentSchedule4[[#Headers],[BEGINNING BALANCE]])-1)),"")</f>
        <v>32694.421368848849</v>
      </c>
      <c r="E329" s="32">
        <f>IF(PaymentSchedule4[[#This Row],[PMT NO]]&lt;&gt;"",ScheduledPayment,"")</f>
        <v>760.02796473882097</v>
      </c>
      <c r="F32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2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29" s="32">
        <f>IF(PaymentSchedule4[[#This Row],[PMT NO]]&lt;&gt;"",PaymentSchedule4[[#This Row],[TOTAL PAYMENT]]-PaymentSchedule4[[#This Row],[INTEREST]],"")</f>
        <v>637.4238846056378</v>
      </c>
      <c r="I329" s="32">
        <f>IF(PaymentSchedule4[[#This Row],[PMT NO]]&lt;&gt;"",PaymentSchedule4[[#This Row],[BEGINNING BALANCE]]*(InterestRate/PaymentsPerYear),"")</f>
        <v>122.60408013318317</v>
      </c>
      <c r="J32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32056.997484243213</v>
      </c>
      <c r="K329" s="32">
        <f>IF(PaymentSchedule4[[#This Row],[PMT NO]]&lt;&gt;"",SUM(INDEX(PaymentSchedule4[INTEREST],1,1):PaymentSchedule4[[#This Row],[INTEREST]]),"")</f>
        <v>120705.77841223292</v>
      </c>
    </row>
    <row r="330" spans="2:11" x14ac:dyDescent="0.3">
      <c r="B330" s="30">
        <f>IF(LoanIsGood,IF(ROW()-ROW(PaymentSchedule4[[#Headers],[PMT NO]])&gt;ScheduledNumberOfPayments,"",ROW()-ROW(PaymentSchedule4[[#Headers],[PMT NO]])),"")</f>
        <v>315</v>
      </c>
      <c r="C330" s="31">
        <f>IF(PaymentSchedule4[[#This Row],[PMT NO]]&lt;&gt;"",EOMONTH(LoanStartDate,ROW(PaymentSchedule4[[#This Row],[PMT NO]])-ROW(PaymentSchedule4[[#Headers],[PMT NO]])-2)+DAY(LoanStartDate),"")</f>
        <v>52932</v>
      </c>
      <c r="D330" s="32">
        <f>IF(PaymentSchedule4[[#This Row],[PMT NO]]&lt;&gt;"",IF(ROW()-ROW(PaymentSchedule4[[#Headers],[BEGINNING BALANCE]])=1,LoanAmount,INDEX(PaymentSchedule4[ENDING BALANCE],ROW()-ROW(PaymentSchedule4[[#Headers],[BEGINNING BALANCE]])-1)),"")</f>
        <v>32056.997484243213</v>
      </c>
      <c r="E330" s="32">
        <f>IF(PaymentSchedule4[[#This Row],[PMT NO]]&lt;&gt;"",ScheduledPayment,"")</f>
        <v>760.02796473882097</v>
      </c>
      <c r="F33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3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30" s="32">
        <f>IF(PaymentSchedule4[[#This Row],[PMT NO]]&lt;&gt;"",PaymentSchedule4[[#This Row],[TOTAL PAYMENT]]-PaymentSchedule4[[#This Row],[INTEREST]],"")</f>
        <v>639.81422417290889</v>
      </c>
      <c r="I330" s="32">
        <f>IF(PaymentSchedule4[[#This Row],[PMT NO]]&lt;&gt;"",PaymentSchedule4[[#This Row],[BEGINNING BALANCE]]*(InterestRate/PaymentsPerYear),"")</f>
        <v>120.21374056591205</v>
      </c>
      <c r="J33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31417.183260070306</v>
      </c>
      <c r="K330" s="32">
        <f>IF(PaymentSchedule4[[#This Row],[PMT NO]]&lt;&gt;"",SUM(INDEX(PaymentSchedule4[INTEREST],1,1):PaymentSchedule4[[#This Row],[INTEREST]]),"")</f>
        <v>120825.99215279883</v>
      </c>
    </row>
    <row r="331" spans="2:11" x14ac:dyDescent="0.3">
      <c r="B331" s="30">
        <f>IF(LoanIsGood,IF(ROW()-ROW(PaymentSchedule4[[#Headers],[PMT NO]])&gt;ScheduledNumberOfPayments,"",ROW()-ROW(PaymentSchedule4[[#Headers],[PMT NO]])),"")</f>
        <v>316</v>
      </c>
      <c r="C331" s="31">
        <f>IF(PaymentSchedule4[[#This Row],[PMT NO]]&lt;&gt;"",EOMONTH(LoanStartDate,ROW(PaymentSchedule4[[#This Row],[PMT NO]])-ROW(PaymentSchedule4[[#Headers],[PMT NO]])-2)+DAY(LoanStartDate),"")</f>
        <v>52963</v>
      </c>
      <c r="D331" s="32">
        <f>IF(PaymentSchedule4[[#This Row],[PMT NO]]&lt;&gt;"",IF(ROW()-ROW(PaymentSchedule4[[#Headers],[BEGINNING BALANCE]])=1,LoanAmount,INDEX(PaymentSchedule4[ENDING BALANCE],ROW()-ROW(PaymentSchedule4[[#Headers],[BEGINNING BALANCE]])-1)),"")</f>
        <v>31417.183260070306</v>
      </c>
      <c r="E331" s="32">
        <f>IF(PaymentSchedule4[[#This Row],[PMT NO]]&lt;&gt;"",ScheduledPayment,"")</f>
        <v>760.02796473882097</v>
      </c>
      <c r="F33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3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31" s="32">
        <f>IF(PaymentSchedule4[[#This Row],[PMT NO]]&lt;&gt;"",PaymentSchedule4[[#This Row],[TOTAL PAYMENT]]-PaymentSchedule4[[#This Row],[INTEREST]],"")</f>
        <v>642.21352751355732</v>
      </c>
      <c r="I331" s="32">
        <f>IF(PaymentSchedule4[[#This Row],[PMT NO]]&lt;&gt;"",PaymentSchedule4[[#This Row],[BEGINNING BALANCE]]*(InterestRate/PaymentsPerYear),"")</f>
        <v>117.81443722526365</v>
      </c>
      <c r="J33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30774.969732556747</v>
      </c>
      <c r="K331" s="32">
        <f>IF(PaymentSchedule4[[#This Row],[PMT NO]]&lt;&gt;"",SUM(INDEX(PaymentSchedule4[INTEREST],1,1):PaymentSchedule4[[#This Row],[INTEREST]]),"")</f>
        <v>120943.80659002409</v>
      </c>
    </row>
    <row r="332" spans="2:11" x14ac:dyDescent="0.3">
      <c r="B332" s="30">
        <f>IF(LoanIsGood,IF(ROW()-ROW(PaymentSchedule4[[#Headers],[PMT NO]])&gt;ScheduledNumberOfPayments,"",ROW()-ROW(PaymentSchedule4[[#Headers],[PMT NO]])),"")</f>
        <v>317</v>
      </c>
      <c r="C332" s="31">
        <f>IF(PaymentSchedule4[[#This Row],[PMT NO]]&lt;&gt;"",EOMONTH(LoanStartDate,ROW(PaymentSchedule4[[#This Row],[PMT NO]])-ROW(PaymentSchedule4[[#Headers],[PMT NO]])-2)+DAY(LoanStartDate),"")</f>
        <v>52994</v>
      </c>
      <c r="D332" s="32">
        <f>IF(PaymentSchedule4[[#This Row],[PMT NO]]&lt;&gt;"",IF(ROW()-ROW(PaymentSchedule4[[#Headers],[BEGINNING BALANCE]])=1,LoanAmount,INDEX(PaymentSchedule4[ENDING BALANCE],ROW()-ROW(PaymentSchedule4[[#Headers],[BEGINNING BALANCE]])-1)),"")</f>
        <v>30774.969732556747</v>
      </c>
      <c r="E332" s="32">
        <f>IF(PaymentSchedule4[[#This Row],[PMT NO]]&lt;&gt;"",ScheduledPayment,"")</f>
        <v>760.02796473882097</v>
      </c>
      <c r="F33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3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32" s="32">
        <f>IF(PaymentSchedule4[[#This Row],[PMT NO]]&lt;&gt;"",PaymentSchedule4[[#This Row],[TOTAL PAYMENT]]-PaymentSchedule4[[#This Row],[INTEREST]],"")</f>
        <v>644.62182824173317</v>
      </c>
      <c r="I332" s="32">
        <f>IF(PaymentSchedule4[[#This Row],[PMT NO]]&lt;&gt;"",PaymentSchedule4[[#This Row],[BEGINNING BALANCE]]*(InterestRate/PaymentsPerYear),"")</f>
        <v>115.4061364970878</v>
      </c>
      <c r="J33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30130.347904315015</v>
      </c>
      <c r="K332" s="32">
        <f>IF(PaymentSchedule4[[#This Row],[PMT NO]]&lt;&gt;"",SUM(INDEX(PaymentSchedule4[INTEREST],1,1):PaymentSchedule4[[#This Row],[INTEREST]]),"")</f>
        <v>121059.21272652117</v>
      </c>
    </row>
    <row r="333" spans="2:11" x14ac:dyDescent="0.3">
      <c r="B333" s="30">
        <f>IF(LoanIsGood,IF(ROW()-ROW(PaymentSchedule4[[#Headers],[PMT NO]])&gt;ScheduledNumberOfPayments,"",ROW()-ROW(PaymentSchedule4[[#Headers],[PMT NO]])),"")</f>
        <v>318</v>
      </c>
      <c r="C333" s="31">
        <f>IF(PaymentSchedule4[[#This Row],[PMT NO]]&lt;&gt;"",EOMONTH(LoanStartDate,ROW(PaymentSchedule4[[#This Row],[PMT NO]])-ROW(PaymentSchedule4[[#Headers],[PMT NO]])-2)+DAY(LoanStartDate),"")</f>
        <v>53022</v>
      </c>
      <c r="D333" s="32">
        <f>IF(PaymentSchedule4[[#This Row],[PMT NO]]&lt;&gt;"",IF(ROW()-ROW(PaymentSchedule4[[#Headers],[BEGINNING BALANCE]])=1,LoanAmount,INDEX(PaymentSchedule4[ENDING BALANCE],ROW()-ROW(PaymentSchedule4[[#Headers],[BEGINNING BALANCE]])-1)),"")</f>
        <v>30130.347904315015</v>
      </c>
      <c r="E333" s="32">
        <f>IF(PaymentSchedule4[[#This Row],[PMT NO]]&lt;&gt;"",ScheduledPayment,"")</f>
        <v>760.02796473882097</v>
      </c>
      <c r="F33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3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33" s="32">
        <f>IF(PaymentSchedule4[[#This Row],[PMT NO]]&lt;&gt;"",PaymentSchedule4[[#This Row],[TOTAL PAYMENT]]-PaymentSchedule4[[#This Row],[INTEREST]],"")</f>
        <v>647.03916009763964</v>
      </c>
      <c r="I333" s="32">
        <f>IF(PaymentSchedule4[[#This Row],[PMT NO]]&lt;&gt;"",PaymentSchedule4[[#This Row],[BEGINNING BALANCE]]*(InterestRate/PaymentsPerYear),"")</f>
        <v>112.9888046411813</v>
      </c>
      <c r="J33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29483.308744217375</v>
      </c>
      <c r="K333" s="32">
        <f>IF(PaymentSchedule4[[#This Row],[PMT NO]]&lt;&gt;"",SUM(INDEX(PaymentSchedule4[INTEREST],1,1):PaymentSchedule4[[#This Row],[INTEREST]]),"")</f>
        <v>121172.20153116235</v>
      </c>
    </row>
    <row r="334" spans="2:11" x14ac:dyDescent="0.3">
      <c r="B334" s="30">
        <f>IF(LoanIsGood,IF(ROW()-ROW(PaymentSchedule4[[#Headers],[PMT NO]])&gt;ScheduledNumberOfPayments,"",ROW()-ROW(PaymentSchedule4[[#Headers],[PMT NO]])),"")</f>
        <v>319</v>
      </c>
      <c r="C334" s="31">
        <f>IF(PaymentSchedule4[[#This Row],[PMT NO]]&lt;&gt;"",EOMONTH(LoanStartDate,ROW(PaymentSchedule4[[#This Row],[PMT NO]])-ROW(PaymentSchedule4[[#Headers],[PMT NO]])-2)+DAY(LoanStartDate),"")</f>
        <v>53053</v>
      </c>
      <c r="D334" s="32">
        <f>IF(PaymentSchedule4[[#This Row],[PMT NO]]&lt;&gt;"",IF(ROW()-ROW(PaymentSchedule4[[#Headers],[BEGINNING BALANCE]])=1,LoanAmount,INDEX(PaymentSchedule4[ENDING BALANCE],ROW()-ROW(PaymentSchedule4[[#Headers],[BEGINNING BALANCE]])-1)),"")</f>
        <v>29483.308744217375</v>
      </c>
      <c r="E334" s="32">
        <f>IF(PaymentSchedule4[[#This Row],[PMT NO]]&lt;&gt;"",ScheduledPayment,"")</f>
        <v>760.02796473882097</v>
      </c>
      <c r="F33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3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34" s="32">
        <f>IF(PaymentSchedule4[[#This Row],[PMT NO]]&lt;&gt;"",PaymentSchedule4[[#This Row],[TOTAL PAYMENT]]-PaymentSchedule4[[#This Row],[INTEREST]],"")</f>
        <v>649.46555694800577</v>
      </c>
      <c r="I334" s="32">
        <f>IF(PaymentSchedule4[[#This Row],[PMT NO]]&lt;&gt;"",PaymentSchedule4[[#This Row],[BEGINNING BALANCE]]*(InterestRate/PaymentsPerYear),"")</f>
        <v>110.56240779081516</v>
      </c>
      <c r="J33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28833.843187269369</v>
      </c>
      <c r="K334" s="32">
        <f>IF(PaymentSchedule4[[#This Row],[PMT NO]]&lt;&gt;"",SUM(INDEX(PaymentSchedule4[INTEREST],1,1):PaymentSchedule4[[#This Row],[INTEREST]]),"")</f>
        <v>121282.76393895317</v>
      </c>
    </row>
    <row r="335" spans="2:11" x14ac:dyDescent="0.3">
      <c r="B335" s="30">
        <f>IF(LoanIsGood,IF(ROW()-ROW(PaymentSchedule4[[#Headers],[PMT NO]])&gt;ScheduledNumberOfPayments,"",ROW()-ROW(PaymentSchedule4[[#Headers],[PMT NO]])),"")</f>
        <v>320</v>
      </c>
      <c r="C335" s="31">
        <f>IF(PaymentSchedule4[[#This Row],[PMT NO]]&lt;&gt;"",EOMONTH(LoanStartDate,ROW(PaymentSchedule4[[#This Row],[PMT NO]])-ROW(PaymentSchedule4[[#Headers],[PMT NO]])-2)+DAY(LoanStartDate),"")</f>
        <v>53083</v>
      </c>
      <c r="D335" s="32">
        <f>IF(PaymentSchedule4[[#This Row],[PMT NO]]&lt;&gt;"",IF(ROW()-ROW(PaymentSchedule4[[#Headers],[BEGINNING BALANCE]])=1,LoanAmount,INDEX(PaymentSchedule4[ENDING BALANCE],ROW()-ROW(PaymentSchedule4[[#Headers],[BEGINNING BALANCE]])-1)),"")</f>
        <v>28833.843187269369</v>
      </c>
      <c r="E335" s="32">
        <f>IF(PaymentSchedule4[[#This Row],[PMT NO]]&lt;&gt;"",ScheduledPayment,"")</f>
        <v>760.02796473882097</v>
      </c>
      <c r="F33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3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35" s="32">
        <f>IF(PaymentSchedule4[[#This Row],[PMT NO]]&lt;&gt;"",PaymentSchedule4[[#This Row],[TOTAL PAYMENT]]-PaymentSchedule4[[#This Row],[INTEREST]],"")</f>
        <v>651.90105278656085</v>
      </c>
      <c r="I335" s="32">
        <f>IF(PaymentSchedule4[[#This Row],[PMT NO]]&lt;&gt;"",PaymentSchedule4[[#This Row],[BEGINNING BALANCE]]*(InterestRate/PaymentsPerYear),"")</f>
        <v>108.12691195226013</v>
      </c>
      <c r="J33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28181.942134482808</v>
      </c>
      <c r="K335" s="32">
        <f>IF(PaymentSchedule4[[#This Row],[PMT NO]]&lt;&gt;"",SUM(INDEX(PaymentSchedule4[INTEREST],1,1):PaymentSchedule4[[#This Row],[INTEREST]]),"")</f>
        <v>121390.89085090543</v>
      </c>
    </row>
    <row r="336" spans="2:11" x14ac:dyDescent="0.3">
      <c r="B336" s="30">
        <f>IF(LoanIsGood,IF(ROW()-ROW(PaymentSchedule4[[#Headers],[PMT NO]])&gt;ScheduledNumberOfPayments,"",ROW()-ROW(PaymentSchedule4[[#Headers],[PMT NO]])),"")</f>
        <v>321</v>
      </c>
      <c r="C336" s="31">
        <f>IF(PaymentSchedule4[[#This Row],[PMT NO]]&lt;&gt;"",EOMONTH(LoanStartDate,ROW(PaymentSchedule4[[#This Row],[PMT NO]])-ROW(PaymentSchedule4[[#Headers],[PMT NO]])-2)+DAY(LoanStartDate),"")</f>
        <v>53114</v>
      </c>
      <c r="D336" s="32">
        <f>IF(PaymentSchedule4[[#This Row],[PMT NO]]&lt;&gt;"",IF(ROW()-ROW(PaymentSchedule4[[#Headers],[BEGINNING BALANCE]])=1,LoanAmount,INDEX(PaymentSchedule4[ENDING BALANCE],ROW()-ROW(PaymentSchedule4[[#Headers],[BEGINNING BALANCE]])-1)),"")</f>
        <v>28181.942134482808</v>
      </c>
      <c r="E336" s="32">
        <f>IF(PaymentSchedule4[[#This Row],[PMT NO]]&lt;&gt;"",ScheduledPayment,"")</f>
        <v>760.02796473882097</v>
      </c>
      <c r="F33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3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36" s="32">
        <f>IF(PaymentSchedule4[[#This Row],[PMT NO]]&lt;&gt;"",PaymentSchedule4[[#This Row],[TOTAL PAYMENT]]-PaymentSchedule4[[#This Row],[INTEREST]],"")</f>
        <v>654.34568173451044</v>
      </c>
      <c r="I336" s="32">
        <f>IF(PaymentSchedule4[[#This Row],[PMT NO]]&lt;&gt;"",PaymentSchedule4[[#This Row],[BEGINNING BALANCE]]*(InterestRate/PaymentsPerYear),"")</f>
        <v>105.68228300431052</v>
      </c>
      <c r="J33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27527.596452748297</v>
      </c>
      <c r="K336" s="32">
        <f>IF(PaymentSchedule4[[#This Row],[PMT NO]]&lt;&gt;"",SUM(INDEX(PaymentSchedule4[INTEREST],1,1):PaymentSchedule4[[#This Row],[INTEREST]]),"")</f>
        <v>121496.57313390974</v>
      </c>
    </row>
    <row r="337" spans="2:11" x14ac:dyDescent="0.3">
      <c r="B337" s="30">
        <f>IF(LoanIsGood,IF(ROW()-ROW(PaymentSchedule4[[#Headers],[PMT NO]])&gt;ScheduledNumberOfPayments,"",ROW()-ROW(PaymentSchedule4[[#Headers],[PMT NO]])),"")</f>
        <v>322</v>
      </c>
      <c r="C337" s="31">
        <f>IF(PaymentSchedule4[[#This Row],[PMT NO]]&lt;&gt;"",EOMONTH(LoanStartDate,ROW(PaymentSchedule4[[#This Row],[PMT NO]])-ROW(PaymentSchedule4[[#Headers],[PMT NO]])-2)+DAY(LoanStartDate),"")</f>
        <v>53144</v>
      </c>
      <c r="D337" s="32">
        <f>IF(PaymentSchedule4[[#This Row],[PMT NO]]&lt;&gt;"",IF(ROW()-ROW(PaymentSchedule4[[#Headers],[BEGINNING BALANCE]])=1,LoanAmount,INDEX(PaymentSchedule4[ENDING BALANCE],ROW()-ROW(PaymentSchedule4[[#Headers],[BEGINNING BALANCE]])-1)),"")</f>
        <v>27527.596452748297</v>
      </c>
      <c r="E337" s="32">
        <f>IF(PaymentSchedule4[[#This Row],[PMT NO]]&lt;&gt;"",ScheduledPayment,"")</f>
        <v>760.02796473882097</v>
      </c>
      <c r="F33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3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37" s="32">
        <f>IF(PaymentSchedule4[[#This Row],[PMT NO]]&lt;&gt;"",PaymentSchedule4[[#This Row],[TOTAL PAYMENT]]-PaymentSchedule4[[#This Row],[INTEREST]],"")</f>
        <v>656.79947804101482</v>
      </c>
      <c r="I337" s="32">
        <f>IF(PaymentSchedule4[[#This Row],[PMT NO]]&lt;&gt;"",PaymentSchedule4[[#This Row],[BEGINNING BALANCE]]*(InterestRate/PaymentsPerYear),"")</f>
        <v>103.2284866978061</v>
      </c>
      <c r="J33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26870.796974707282</v>
      </c>
      <c r="K337" s="32">
        <f>IF(PaymentSchedule4[[#This Row],[PMT NO]]&lt;&gt;"",SUM(INDEX(PaymentSchedule4[INTEREST],1,1):PaymentSchedule4[[#This Row],[INTEREST]]),"")</f>
        <v>121599.80162060754</v>
      </c>
    </row>
    <row r="338" spans="2:11" x14ac:dyDescent="0.3">
      <c r="B338" s="30">
        <f>IF(LoanIsGood,IF(ROW()-ROW(PaymentSchedule4[[#Headers],[PMT NO]])&gt;ScheduledNumberOfPayments,"",ROW()-ROW(PaymentSchedule4[[#Headers],[PMT NO]])),"")</f>
        <v>323</v>
      </c>
      <c r="C338" s="31">
        <f>IF(PaymentSchedule4[[#This Row],[PMT NO]]&lt;&gt;"",EOMONTH(LoanStartDate,ROW(PaymentSchedule4[[#This Row],[PMT NO]])-ROW(PaymentSchedule4[[#Headers],[PMT NO]])-2)+DAY(LoanStartDate),"")</f>
        <v>53175</v>
      </c>
      <c r="D338" s="32">
        <f>IF(PaymentSchedule4[[#This Row],[PMT NO]]&lt;&gt;"",IF(ROW()-ROW(PaymentSchedule4[[#Headers],[BEGINNING BALANCE]])=1,LoanAmount,INDEX(PaymentSchedule4[ENDING BALANCE],ROW()-ROW(PaymentSchedule4[[#Headers],[BEGINNING BALANCE]])-1)),"")</f>
        <v>26870.796974707282</v>
      </c>
      <c r="E338" s="32">
        <f>IF(PaymentSchedule4[[#This Row],[PMT NO]]&lt;&gt;"",ScheduledPayment,"")</f>
        <v>760.02796473882097</v>
      </c>
      <c r="F33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3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38" s="32">
        <f>IF(PaymentSchedule4[[#This Row],[PMT NO]]&lt;&gt;"",PaymentSchedule4[[#This Row],[TOTAL PAYMENT]]-PaymentSchedule4[[#This Row],[INTEREST]],"")</f>
        <v>659.26247608366862</v>
      </c>
      <c r="I338" s="32">
        <f>IF(PaymentSchedule4[[#This Row],[PMT NO]]&lt;&gt;"",PaymentSchedule4[[#This Row],[BEGINNING BALANCE]]*(InterestRate/PaymentsPerYear),"")</f>
        <v>100.76548865515231</v>
      </c>
      <c r="J33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26211.534498623612</v>
      </c>
      <c r="K338" s="32">
        <f>IF(PaymentSchedule4[[#This Row],[PMT NO]]&lt;&gt;"",SUM(INDEX(PaymentSchedule4[INTEREST],1,1):PaymentSchedule4[[#This Row],[INTEREST]]),"")</f>
        <v>121700.56710926269</v>
      </c>
    </row>
    <row r="339" spans="2:11" x14ac:dyDescent="0.3">
      <c r="B339" s="30">
        <f>IF(LoanIsGood,IF(ROW()-ROW(PaymentSchedule4[[#Headers],[PMT NO]])&gt;ScheduledNumberOfPayments,"",ROW()-ROW(PaymentSchedule4[[#Headers],[PMT NO]])),"")</f>
        <v>324</v>
      </c>
      <c r="C339" s="31">
        <f>IF(PaymentSchedule4[[#This Row],[PMT NO]]&lt;&gt;"",EOMONTH(LoanStartDate,ROW(PaymentSchedule4[[#This Row],[PMT NO]])-ROW(PaymentSchedule4[[#Headers],[PMT NO]])-2)+DAY(LoanStartDate),"")</f>
        <v>53206</v>
      </c>
      <c r="D339" s="32">
        <f>IF(PaymentSchedule4[[#This Row],[PMT NO]]&lt;&gt;"",IF(ROW()-ROW(PaymentSchedule4[[#Headers],[BEGINNING BALANCE]])=1,LoanAmount,INDEX(PaymentSchedule4[ENDING BALANCE],ROW()-ROW(PaymentSchedule4[[#Headers],[BEGINNING BALANCE]])-1)),"")</f>
        <v>26211.534498623612</v>
      </c>
      <c r="E339" s="32">
        <f>IF(PaymentSchedule4[[#This Row],[PMT NO]]&lt;&gt;"",ScheduledPayment,"")</f>
        <v>760.02796473882097</v>
      </c>
      <c r="F33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3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39" s="32">
        <f>IF(PaymentSchedule4[[#This Row],[PMT NO]]&lt;&gt;"",PaymentSchedule4[[#This Row],[TOTAL PAYMENT]]-PaymentSchedule4[[#This Row],[INTEREST]],"")</f>
        <v>661.73471036898241</v>
      </c>
      <c r="I339" s="32">
        <f>IF(PaymentSchedule4[[#This Row],[PMT NO]]&lt;&gt;"",PaymentSchedule4[[#This Row],[BEGINNING BALANCE]]*(InterestRate/PaymentsPerYear),"")</f>
        <v>98.293254369838536</v>
      </c>
      <c r="J33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25549.79978825463</v>
      </c>
      <c r="K339" s="32">
        <f>IF(PaymentSchedule4[[#This Row],[PMT NO]]&lt;&gt;"",SUM(INDEX(PaymentSchedule4[INTEREST],1,1):PaymentSchedule4[[#This Row],[INTEREST]]),"")</f>
        <v>121798.86036363253</v>
      </c>
    </row>
    <row r="340" spans="2:11" x14ac:dyDescent="0.3">
      <c r="B340" s="30">
        <f>IF(LoanIsGood,IF(ROW()-ROW(PaymentSchedule4[[#Headers],[PMT NO]])&gt;ScheduledNumberOfPayments,"",ROW()-ROW(PaymentSchedule4[[#Headers],[PMT NO]])),"")</f>
        <v>325</v>
      </c>
      <c r="C340" s="31">
        <f>IF(PaymentSchedule4[[#This Row],[PMT NO]]&lt;&gt;"",EOMONTH(LoanStartDate,ROW(PaymentSchedule4[[#This Row],[PMT NO]])-ROW(PaymentSchedule4[[#Headers],[PMT NO]])-2)+DAY(LoanStartDate),"")</f>
        <v>53236</v>
      </c>
      <c r="D340" s="32">
        <f>IF(PaymentSchedule4[[#This Row],[PMT NO]]&lt;&gt;"",IF(ROW()-ROW(PaymentSchedule4[[#Headers],[BEGINNING BALANCE]])=1,LoanAmount,INDEX(PaymentSchedule4[ENDING BALANCE],ROW()-ROW(PaymentSchedule4[[#Headers],[BEGINNING BALANCE]])-1)),"")</f>
        <v>25549.79978825463</v>
      </c>
      <c r="E340" s="32">
        <f>IF(PaymentSchedule4[[#This Row],[PMT NO]]&lt;&gt;"",ScheduledPayment,"")</f>
        <v>760.02796473882097</v>
      </c>
      <c r="F34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4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40" s="32">
        <f>IF(PaymentSchedule4[[#This Row],[PMT NO]]&lt;&gt;"",PaymentSchedule4[[#This Row],[TOTAL PAYMENT]]-PaymentSchedule4[[#This Row],[INTEREST]],"")</f>
        <v>664.21621553286616</v>
      </c>
      <c r="I340" s="32">
        <f>IF(PaymentSchedule4[[#This Row],[PMT NO]]&lt;&gt;"",PaymentSchedule4[[#This Row],[BEGINNING BALANCE]]*(InterestRate/PaymentsPerYear),"")</f>
        <v>95.811749205954854</v>
      </c>
      <c r="J34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24885.583572721764</v>
      </c>
      <c r="K340" s="32">
        <f>IF(PaymentSchedule4[[#This Row],[PMT NO]]&lt;&gt;"",SUM(INDEX(PaymentSchedule4[INTEREST],1,1):PaymentSchedule4[[#This Row],[INTEREST]]),"")</f>
        <v>121894.67211283848</v>
      </c>
    </row>
    <row r="341" spans="2:11" x14ac:dyDescent="0.3">
      <c r="B341" s="30">
        <f>IF(LoanIsGood,IF(ROW()-ROW(PaymentSchedule4[[#Headers],[PMT NO]])&gt;ScheduledNumberOfPayments,"",ROW()-ROW(PaymentSchedule4[[#Headers],[PMT NO]])),"")</f>
        <v>326</v>
      </c>
      <c r="C341" s="31">
        <f>IF(PaymentSchedule4[[#This Row],[PMT NO]]&lt;&gt;"",EOMONTH(LoanStartDate,ROW(PaymentSchedule4[[#This Row],[PMT NO]])-ROW(PaymentSchedule4[[#Headers],[PMT NO]])-2)+DAY(LoanStartDate),"")</f>
        <v>53267</v>
      </c>
      <c r="D341" s="32">
        <f>IF(PaymentSchedule4[[#This Row],[PMT NO]]&lt;&gt;"",IF(ROW()-ROW(PaymentSchedule4[[#Headers],[BEGINNING BALANCE]])=1,LoanAmount,INDEX(PaymentSchedule4[ENDING BALANCE],ROW()-ROW(PaymentSchedule4[[#Headers],[BEGINNING BALANCE]])-1)),"")</f>
        <v>24885.583572721764</v>
      </c>
      <c r="E341" s="32">
        <f>IF(PaymentSchedule4[[#This Row],[PMT NO]]&lt;&gt;"",ScheduledPayment,"")</f>
        <v>760.02796473882097</v>
      </c>
      <c r="F34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4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41" s="32">
        <f>IF(PaymentSchedule4[[#This Row],[PMT NO]]&lt;&gt;"",PaymentSchedule4[[#This Row],[TOTAL PAYMENT]]-PaymentSchedule4[[#This Row],[INTEREST]],"")</f>
        <v>666.70702634111433</v>
      </c>
      <c r="I341" s="32">
        <f>IF(PaymentSchedule4[[#This Row],[PMT NO]]&lt;&gt;"",PaymentSchedule4[[#This Row],[BEGINNING BALANCE]]*(InterestRate/PaymentsPerYear),"")</f>
        <v>93.320938397706612</v>
      </c>
      <c r="J34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24218.876546380649</v>
      </c>
      <c r="K341" s="32">
        <f>IF(PaymentSchedule4[[#This Row],[PMT NO]]&lt;&gt;"",SUM(INDEX(PaymentSchedule4[INTEREST],1,1):PaymentSchedule4[[#This Row],[INTEREST]]),"")</f>
        <v>121987.99305123619</v>
      </c>
    </row>
    <row r="342" spans="2:11" x14ac:dyDescent="0.3">
      <c r="B342" s="30">
        <f>IF(LoanIsGood,IF(ROW()-ROW(PaymentSchedule4[[#Headers],[PMT NO]])&gt;ScheduledNumberOfPayments,"",ROW()-ROW(PaymentSchedule4[[#Headers],[PMT NO]])),"")</f>
        <v>327</v>
      </c>
      <c r="C342" s="31">
        <f>IF(PaymentSchedule4[[#This Row],[PMT NO]]&lt;&gt;"",EOMONTH(LoanStartDate,ROW(PaymentSchedule4[[#This Row],[PMT NO]])-ROW(PaymentSchedule4[[#Headers],[PMT NO]])-2)+DAY(LoanStartDate),"")</f>
        <v>53297</v>
      </c>
      <c r="D342" s="32">
        <f>IF(PaymentSchedule4[[#This Row],[PMT NO]]&lt;&gt;"",IF(ROW()-ROW(PaymentSchedule4[[#Headers],[BEGINNING BALANCE]])=1,LoanAmount,INDEX(PaymentSchedule4[ENDING BALANCE],ROW()-ROW(PaymentSchedule4[[#Headers],[BEGINNING BALANCE]])-1)),"")</f>
        <v>24218.876546380649</v>
      </c>
      <c r="E342" s="32">
        <f>IF(PaymentSchedule4[[#This Row],[PMT NO]]&lt;&gt;"",ScheduledPayment,"")</f>
        <v>760.02796473882097</v>
      </c>
      <c r="F34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4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42" s="32">
        <f>IF(PaymentSchedule4[[#This Row],[PMT NO]]&lt;&gt;"",PaymentSchedule4[[#This Row],[TOTAL PAYMENT]]-PaymentSchedule4[[#This Row],[INTEREST]],"")</f>
        <v>669.20717768989357</v>
      </c>
      <c r="I342" s="32">
        <f>IF(PaymentSchedule4[[#This Row],[PMT NO]]&lt;&gt;"",PaymentSchedule4[[#This Row],[BEGINNING BALANCE]]*(InterestRate/PaymentsPerYear),"")</f>
        <v>90.820787048927428</v>
      </c>
      <c r="J34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23549.669368690757</v>
      </c>
      <c r="K342" s="32">
        <f>IF(PaymentSchedule4[[#This Row],[PMT NO]]&lt;&gt;"",SUM(INDEX(PaymentSchedule4[INTEREST],1,1):PaymentSchedule4[[#This Row],[INTEREST]]),"")</f>
        <v>122078.81383828512</v>
      </c>
    </row>
    <row r="343" spans="2:11" x14ac:dyDescent="0.3">
      <c r="B343" s="30">
        <f>IF(LoanIsGood,IF(ROW()-ROW(PaymentSchedule4[[#Headers],[PMT NO]])&gt;ScheduledNumberOfPayments,"",ROW()-ROW(PaymentSchedule4[[#Headers],[PMT NO]])),"")</f>
        <v>328</v>
      </c>
      <c r="C343" s="31">
        <f>IF(PaymentSchedule4[[#This Row],[PMT NO]]&lt;&gt;"",EOMONTH(LoanStartDate,ROW(PaymentSchedule4[[#This Row],[PMT NO]])-ROW(PaymentSchedule4[[#Headers],[PMT NO]])-2)+DAY(LoanStartDate),"")</f>
        <v>53328</v>
      </c>
      <c r="D343" s="32">
        <f>IF(PaymentSchedule4[[#This Row],[PMT NO]]&lt;&gt;"",IF(ROW()-ROW(PaymentSchedule4[[#Headers],[BEGINNING BALANCE]])=1,LoanAmount,INDEX(PaymentSchedule4[ENDING BALANCE],ROW()-ROW(PaymentSchedule4[[#Headers],[BEGINNING BALANCE]])-1)),"")</f>
        <v>23549.669368690757</v>
      </c>
      <c r="E343" s="32">
        <f>IF(PaymentSchedule4[[#This Row],[PMT NO]]&lt;&gt;"",ScheduledPayment,"")</f>
        <v>760.02796473882097</v>
      </c>
      <c r="F34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4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43" s="32">
        <f>IF(PaymentSchedule4[[#This Row],[PMT NO]]&lt;&gt;"",PaymentSchedule4[[#This Row],[TOTAL PAYMENT]]-PaymentSchedule4[[#This Row],[INTEREST]],"")</f>
        <v>671.71670460623068</v>
      </c>
      <c r="I343" s="32">
        <f>IF(PaymentSchedule4[[#This Row],[PMT NO]]&lt;&gt;"",PaymentSchedule4[[#This Row],[BEGINNING BALANCE]]*(InterestRate/PaymentsPerYear),"")</f>
        <v>88.311260132590334</v>
      </c>
      <c r="J34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22877.952664084525</v>
      </c>
      <c r="K343" s="32">
        <f>IF(PaymentSchedule4[[#This Row],[PMT NO]]&lt;&gt;"",SUM(INDEX(PaymentSchedule4[INTEREST],1,1):PaymentSchedule4[[#This Row],[INTEREST]]),"")</f>
        <v>122167.1250984177</v>
      </c>
    </row>
    <row r="344" spans="2:11" x14ac:dyDescent="0.3">
      <c r="B344" s="30">
        <f>IF(LoanIsGood,IF(ROW()-ROW(PaymentSchedule4[[#Headers],[PMT NO]])&gt;ScheduledNumberOfPayments,"",ROW()-ROW(PaymentSchedule4[[#Headers],[PMT NO]])),"")</f>
        <v>329</v>
      </c>
      <c r="C344" s="31">
        <f>IF(PaymentSchedule4[[#This Row],[PMT NO]]&lt;&gt;"",EOMONTH(LoanStartDate,ROW(PaymentSchedule4[[#This Row],[PMT NO]])-ROW(PaymentSchedule4[[#Headers],[PMT NO]])-2)+DAY(LoanStartDate),"")</f>
        <v>53359</v>
      </c>
      <c r="D344" s="32">
        <f>IF(PaymentSchedule4[[#This Row],[PMT NO]]&lt;&gt;"",IF(ROW()-ROW(PaymentSchedule4[[#Headers],[BEGINNING BALANCE]])=1,LoanAmount,INDEX(PaymentSchedule4[ENDING BALANCE],ROW()-ROW(PaymentSchedule4[[#Headers],[BEGINNING BALANCE]])-1)),"")</f>
        <v>22877.952664084525</v>
      </c>
      <c r="E344" s="32">
        <f>IF(PaymentSchedule4[[#This Row],[PMT NO]]&lt;&gt;"",ScheduledPayment,"")</f>
        <v>760.02796473882097</v>
      </c>
      <c r="F34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4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44" s="32">
        <f>IF(PaymentSchedule4[[#This Row],[PMT NO]]&lt;&gt;"",PaymentSchedule4[[#This Row],[TOTAL PAYMENT]]-PaymentSchedule4[[#This Row],[INTEREST]],"")</f>
        <v>674.23564224850406</v>
      </c>
      <c r="I344" s="32">
        <f>IF(PaymentSchedule4[[#This Row],[PMT NO]]&lt;&gt;"",PaymentSchedule4[[#This Row],[BEGINNING BALANCE]]*(InterestRate/PaymentsPerYear),"")</f>
        <v>85.792322490316963</v>
      </c>
      <c r="J34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22203.717021836022</v>
      </c>
      <c r="K344" s="32">
        <f>IF(PaymentSchedule4[[#This Row],[PMT NO]]&lt;&gt;"",SUM(INDEX(PaymentSchedule4[INTEREST],1,1):PaymentSchedule4[[#This Row],[INTEREST]]),"")</f>
        <v>122252.91742090802</v>
      </c>
    </row>
    <row r="345" spans="2:11" x14ac:dyDescent="0.3">
      <c r="B345" s="30">
        <f>IF(LoanIsGood,IF(ROW()-ROW(PaymentSchedule4[[#Headers],[PMT NO]])&gt;ScheduledNumberOfPayments,"",ROW()-ROW(PaymentSchedule4[[#Headers],[PMT NO]])),"")</f>
        <v>330</v>
      </c>
      <c r="C345" s="31">
        <f>IF(PaymentSchedule4[[#This Row],[PMT NO]]&lt;&gt;"",EOMONTH(LoanStartDate,ROW(PaymentSchedule4[[#This Row],[PMT NO]])-ROW(PaymentSchedule4[[#Headers],[PMT NO]])-2)+DAY(LoanStartDate),"")</f>
        <v>53387</v>
      </c>
      <c r="D345" s="32">
        <f>IF(PaymentSchedule4[[#This Row],[PMT NO]]&lt;&gt;"",IF(ROW()-ROW(PaymentSchedule4[[#Headers],[BEGINNING BALANCE]])=1,LoanAmount,INDEX(PaymentSchedule4[ENDING BALANCE],ROW()-ROW(PaymentSchedule4[[#Headers],[BEGINNING BALANCE]])-1)),"")</f>
        <v>22203.717021836022</v>
      </c>
      <c r="E345" s="32">
        <f>IF(PaymentSchedule4[[#This Row],[PMT NO]]&lt;&gt;"",ScheduledPayment,"")</f>
        <v>760.02796473882097</v>
      </c>
      <c r="F34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4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45" s="32">
        <f>IF(PaymentSchedule4[[#This Row],[PMT NO]]&lt;&gt;"",PaymentSchedule4[[#This Row],[TOTAL PAYMENT]]-PaymentSchedule4[[#This Row],[INTEREST]],"")</f>
        <v>676.7640259069359</v>
      </c>
      <c r="I345" s="32">
        <f>IF(PaymentSchedule4[[#This Row],[PMT NO]]&lt;&gt;"",PaymentSchedule4[[#This Row],[BEGINNING BALANCE]]*(InterestRate/PaymentsPerYear),"")</f>
        <v>83.263938831885085</v>
      </c>
      <c r="J34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21526.952995929085</v>
      </c>
      <c r="K345" s="32">
        <f>IF(PaymentSchedule4[[#This Row],[PMT NO]]&lt;&gt;"",SUM(INDEX(PaymentSchedule4[INTEREST],1,1):PaymentSchedule4[[#This Row],[INTEREST]]),"")</f>
        <v>122336.1813597399</v>
      </c>
    </row>
    <row r="346" spans="2:11" x14ac:dyDescent="0.3">
      <c r="B346" s="30">
        <f>IF(LoanIsGood,IF(ROW()-ROW(PaymentSchedule4[[#Headers],[PMT NO]])&gt;ScheduledNumberOfPayments,"",ROW()-ROW(PaymentSchedule4[[#Headers],[PMT NO]])),"")</f>
        <v>331</v>
      </c>
      <c r="C346" s="31">
        <f>IF(PaymentSchedule4[[#This Row],[PMT NO]]&lt;&gt;"",EOMONTH(LoanStartDate,ROW(PaymentSchedule4[[#This Row],[PMT NO]])-ROW(PaymentSchedule4[[#Headers],[PMT NO]])-2)+DAY(LoanStartDate),"")</f>
        <v>53418</v>
      </c>
      <c r="D346" s="32">
        <f>IF(PaymentSchedule4[[#This Row],[PMT NO]]&lt;&gt;"",IF(ROW()-ROW(PaymentSchedule4[[#Headers],[BEGINNING BALANCE]])=1,LoanAmount,INDEX(PaymentSchedule4[ENDING BALANCE],ROW()-ROW(PaymentSchedule4[[#Headers],[BEGINNING BALANCE]])-1)),"")</f>
        <v>21526.952995929085</v>
      </c>
      <c r="E346" s="32">
        <f>IF(PaymentSchedule4[[#This Row],[PMT NO]]&lt;&gt;"",ScheduledPayment,"")</f>
        <v>760.02796473882097</v>
      </c>
      <c r="F34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4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46" s="32">
        <f>IF(PaymentSchedule4[[#This Row],[PMT NO]]&lt;&gt;"",PaymentSchedule4[[#This Row],[TOTAL PAYMENT]]-PaymentSchedule4[[#This Row],[INTEREST]],"")</f>
        <v>679.30189100408688</v>
      </c>
      <c r="I346" s="32">
        <f>IF(PaymentSchedule4[[#This Row],[PMT NO]]&lt;&gt;"",PaymentSchedule4[[#This Row],[BEGINNING BALANCE]]*(InterestRate/PaymentsPerYear),"")</f>
        <v>80.726073734734072</v>
      </c>
      <c r="J34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20847.651104924997</v>
      </c>
      <c r="K346" s="32">
        <f>IF(PaymentSchedule4[[#This Row],[PMT NO]]&lt;&gt;"",SUM(INDEX(PaymentSchedule4[INTEREST],1,1):PaymentSchedule4[[#This Row],[INTEREST]]),"")</f>
        <v>122416.90743347464</v>
      </c>
    </row>
    <row r="347" spans="2:11" x14ac:dyDescent="0.3">
      <c r="B347" s="30">
        <f>IF(LoanIsGood,IF(ROW()-ROW(PaymentSchedule4[[#Headers],[PMT NO]])&gt;ScheduledNumberOfPayments,"",ROW()-ROW(PaymentSchedule4[[#Headers],[PMT NO]])),"")</f>
        <v>332</v>
      </c>
      <c r="C347" s="31">
        <f>IF(PaymentSchedule4[[#This Row],[PMT NO]]&lt;&gt;"",EOMONTH(LoanStartDate,ROW(PaymentSchedule4[[#This Row],[PMT NO]])-ROW(PaymentSchedule4[[#Headers],[PMT NO]])-2)+DAY(LoanStartDate),"")</f>
        <v>53448</v>
      </c>
      <c r="D347" s="32">
        <f>IF(PaymentSchedule4[[#This Row],[PMT NO]]&lt;&gt;"",IF(ROW()-ROW(PaymentSchedule4[[#Headers],[BEGINNING BALANCE]])=1,LoanAmount,INDEX(PaymentSchedule4[ENDING BALANCE],ROW()-ROW(PaymentSchedule4[[#Headers],[BEGINNING BALANCE]])-1)),"")</f>
        <v>20847.651104924997</v>
      </c>
      <c r="E347" s="32">
        <f>IF(PaymentSchedule4[[#This Row],[PMT NO]]&lt;&gt;"",ScheduledPayment,"")</f>
        <v>760.02796473882097</v>
      </c>
      <c r="F34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4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47" s="32">
        <f>IF(PaymentSchedule4[[#This Row],[PMT NO]]&lt;&gt;"",PaymentSchedule4[[#This Row],[TOTAL PAYMENT]]-PaymentSchedule4[[#This Row],[INTEREST]],"")</f>
        <v>681.84927309535226</v>
      </c>
      <c r="I347" s="32">
        <f>IF(PaymentSchedule4[[#This Row],[PMT NO]]&lt;&gt;"",PaymentSchedule4[[#This Row],[BEGINNING BALANCE]]*(InterestRate/PaymentsPerYear),"")</f>
        <v>78.178691643468738</v>
      </c>
      <c r="J34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20165.801831829645</v>
      </c>
      <c r="K347" s="32">
        <f>IF(PaymentSchedule4[[#This Row],[PMT NO]]&lt;&gt;"",SUM(INDEX(PaymentSchedule4[INTEREST],1,1):PaymentSchedule4[[#This Row],[INTEREST]]),"")</f>
        <v>122495.0861251181</v>
      </c>
    </row>
    <row r="348" spans="2:11" x14ac:dyDescent="0.3">
      <c r="B348" s="30">
        <f>IF(LoanIsGood,IF(ROW()-ROW(PaymentSchedule4[[#Headers],[PMT NO]])&gt;ScheduledNumberOfPayments,"",ROW()-ROW(PaymentSchedule4[[#Headers],[PMT NO]])),"")</f>
        <v>333</v>
      </c>
      <c r="C348" s="31">
        <f>IF(PaymentSchedule4[[#This Row],[PMT NO]]&lt;&gt;"",EOMONTH(LoanStartDate,ROW(PaymentSchedule4[[#This Row],[PMT NO]])-ROW(PaymentSchedule4[[#Headers],[PMT NO]])-2)+DAY(LoanStartDate),"")</f>
        <v>53479</v>
      </c>
      <c r="D348" s="32">
        <f>IF(PaymentSchedule4[[#This Row],[PMT NO]]&lt;&gt;"",IF(ROW()-ROW(PaymentSchedule4[[#Headers],[BEGINNING BALANCE]])=1,LoanAmount,INDEX(PaymentSchedule4[ENDING BALANCE],ROW()-ROW(PaymentSchedule4[[#Headers],[BEGINNING BALANCE]])-1)),"")</f>
        <v>20165.801831829645</v>
      </c>
      <c r="E348" s="32">
        <f>IF(PaymentSchedule4[[#This Row],[PMT NO]]&lt;&gt;"",ScheduledPayment,"")</f>
        <v>760.02796473882097</v>
      </c>
      <c r="F34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4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48" s="32">
        <f>IF(PaymentSchedule4[[#This Row],[PMT NO]]&lt;&gt;"",PaymentSchedule4[[#This Row],[TOTAL PAYMENT]]-PaymentSchedule4[[#This Row],[INTEREST]],"")</f>
        <v>684.40620786945976</v>
      </c>
      <c r="I348" s="32">
        <f>IF(PaymentSchedule4[[#This Row],[PMT NO]]&lt;&gt;"",PaymentSchedule4[[#This Row],[BEGINNING BALANCE]]*(InterestRate/PaymentsPerYear),"")</f>
        <v>75.621756869361164</v>
      </c>
      <c r="J34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19481.395623960187</v>
      </c>
      <c r="K348" s="32">
        <f>IF(PaymentSchedule4[[#This Row],[PMT NO]]&lt;&gt;"",SUM(INDEX(PaymentSchedule4[INTEREST],1,1):PaymentSchedule4[[#This Row],[INTEREST]]),"")</f>
        <v>122570.70788198747</v>
      </c>
    </row>
    <row r="349" spans="2:11" x14ac:dyDescent="0.3">
      <c r="B349" s="30">
        <f>IF(LoanIsGood,IF(ROW()-ROW(PaymentSchedule4[[#Headers],[PMT NO]])&gt;ScheduledNumberOfPayments,"",ROW()-ROW(PaymentSchedule4[[#Headers],[PMT NO]])),"")</f>
        <v>334</v>
      </c>
      <c r="C349" s="31">
        <f>IF(PaymentSchedule4[[#This Row],[PMT NO]]&lt;&gt;"",EOMONTH(LoanStartDate,ROW(PaymentSchedule4[[#This Row],[PMT NO]])-ROW(PaymentSchedule4[[#Headers],[PMT NO]])-2)+DAY(LoanStartDate),"")</f>
        <v>53509</v>
      </c>
      <c r="D349" s="32">
        <f>IF(PaymentSchedule4[[#This Row],[PMT NO]]&lt;&gt;"",IF(ROW()-ROW(PaymentSchedule4[[#Headers],[BEGINNING BALANCE]])=1,LoanAmount,INDEX(PaymentSchedule4[ENDING BALANCE],ROW()-ROW(PaymentSchedule4[[#Headers],[BEGINNING BALANCE]])-1)),"")</f>
        <v>19481.395623960187</v>
      </c>
      <c r="E349" s="32">
        <f>IF(PaymentSchedule4[[#This Row],[PMT NO]]&lt;&gt;"",ScheduledPayment,"")</f>
        <v>760.02796473882097</v>
      </c>
      <c r="F34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4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49" s="32">
        <f>IF(PaymentSchedule4[[#This Row],[PMT NO]]&lt;&gt;"",PaymentSchedule4[[#This Row],[TOTAL PAYMENT]]-PaymentSchedule4[[#This Row],[INTEREST]],"")</f>
        <v>686.9727311489703</v>
      </c>
      <c r="I349" s="32">
        <f>IF(PaymentSchedule4[[#This Row],[PMT NO]]&lt;&gt;"",PaymentSchedule4[[#This Row],[BEGINNING BALANCE]]*(InterestRate/PaymentsPerYear),"")</f>
        <v>73.055233589850701</v>
      </c>
      <c r="J34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18794.422892811217</v>
      </c>
      <c r="K349" s="32">
        <f>IF(PaymentSchedule4[[#This Row],[PMT NO]]&lt;&gt;"",SUM(INDEX(PaymentSchedule4[INTEREST],1,1):PaymentSchedule4[[#This Row],[INTEREST]]),"")</f>
        <v>122643.76311557733</v>
      </c>
    </row>
    <row r="350" spans="2:11" x14ac:dyDescent="0.3">
      <c r="B350" s="30">
        <f>IF(LoanIsGood,IF(ROW()-ROW(PaymentSchedule4[[#Headers],[PMT NO]])&gt;ScheduledNumberOfPayments,"",ROW()-ROW(PaymentSchedule4[[#Headers],[PMT NO]])),"")</f>
        <v>335</v>
      </c>
      <c r="C350" s="31">
        <f>IF(PaymentSchedule4[[#This Row],[PMT NO]]&lt;&gt;"",EOMONTH(LoanStartDate,ROW(PaymentSchedule4[[#This Row],[PMT NO]])-ROW(PaymentSchedule4[[#Headers],[PMT NO]])-2)+DAY(LoanStartDate),"")</f>
        <v>53540</v>
      </c>
      <c r="D350" s="32">
        <f>IF(PaymentSchedule4[[#This Row],[PMT NO]]&lt;&gt;"",IF(ROW()-ROW(PaymentSchedule4[[#Headers],[BEGINNING BALANCE]])=1,LoanAmount,INDEX(PaymentSchedule4[ENDING BALANCE],ROW()-ROW(PaymentSchedule4[[#Headers],[BEGINNING BALANCE]])-1)),"")</f>
        <v>18794.422892811217</v>
      </c>
      <c r="E350" s="32">
        <f>IF(PaymentSchedule4[[#This Row],[PMT NO]]&lt;&gt;"",ScheduledPayment,"")</f>
        <v>760.02796473882097</v>
      </c>
      <c r="F35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5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50" s="32">
        <f>IF(PaymentSchedule4[[#This Row],[PMT NO]]&lt;&gt;"",PaymentSchedule4[[#This Row],[TOTAL PAYMENT]]-PaymentSchedule4[[#This Row],[INTEREST]],"")</f>
        <v>689.54887889077895</v>
      </c>
      <c r="I350" s="32">
        <f>IF(PaymentSchedule4[[#This Row],[PMT NO]]&lt;&gt;"",PaymentSchedule4[[#This Row],[BEGINNING BALANCE]]*(InterestRate/PaymentsPerYear),"")</f>
        <v>70.479085848042061</v>
      </c>
      <c r="J35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18104.874013920438</v>
      </c>
      <c r="K350" s="32">
        <f>IF(PaymentSchedule4[[#This Row],[PMT NO]]&lt;&gt;"",SUM(INDEX(PaymentSchedule4[INTEREST],1,1):PaymentSchedule4[[#This Row],[INTEREST]]),"")</f>
        <v>122714.24220142537</v>
      </c>
    </row>
    <row r="351" spans="2:11" x14ac:dyDescent="0.3">
      <c r="B351" s="30">
        <f>IF(LoanIsGood,IF(ROW()-ROW(PaymentSchedule4[[#Headers],[PMT NO]])&gt;ScheduledNumberOfPayments,"",ROW()-ROW(PaymentSchedule4[[#Headers],[PMT NO]])),"")</f>
        <v>336</v>
      </c>
      <c r="C351" s="31">
        <f>IF(PaymentSchedule4[[#This Row],[PMT NO]]&lt;&gt;"",EOMONTH(LoanStartDate,ROW(PaymentSchedule4[[#This Row],[PMT NO]])-ROW(PaymentSchedule4[[#Headers],[PMT NO]])-2)+DAY(LoanStartDate),"")</f>
        <v>53571</v>
      </c>
      <c r="D351" s="32">
        <f>IF(PaymentSchedule4[[#This Row],[PMT NO]]&lt;&gt;"",IF(ROW()-ROW(PaymentSchedule4[[#Headers],[BEGINNING BALANCE]])=1,LoanAmount,INDEX(PaymentSchedule4[ENDING BALANCE],ROW()-ROW(PaymentSchedule4[[#Headers],[BEGINNING BALANCE]])-1)),"")</f>
        <v>18104.874013920438</v>
      </c>
      <c r="E351" s="32">
        <f>IF(PaymentSchedule4[[#This Row],[PMT NO]]&lt;&gt;"",ScheduledPayment,"")</f>
        <v>760.02796473882097</v>
      </c>
      <c r="F35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5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51" s="32">
        <f>IF(PaymentSchedule4[[#This Row],[PMT NO]]&lt;&gt;"",PaymentSchedule4[[#This Row],[TOTAL PAYMENT]]-PaymentSchedule4[[#This Row],[INTEREST]],"")</f>
        <v>692.13468718661932</v>
      </c>
      <c r="I351" s="32">
        <f>IF(PaymentSchedule4[[#This Row],[PMT NO]]&lt;&gt;"",PaymentSchedule4[[#This Row],[BEGINNING BALANCE]]*(InterestRate/PaymentsPerYear),"")</f>
        <v>67.893277552201639</v>
      </c>
      <c r="J35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17412.739326733819</v>
      </c>
      <c r="K351" s="32">
        <f>IF(PaymentSchedule4[[#This Row],[PMT NO]]&lt;&gt;"",SUM(INDEX(PaymentSchedule4[INTEREST],1,1):PaymentSchedule4[[#This Row],[INTEREST]]),"")</f>
        <v>122782.13547897757</v>
      </c>
    </row>
    <row r="352" spans="2:11" x14ac:dyDescent="0.3">
      <c r="B352" s="30">
        <f>IF(LoanIsGood,IF(ROW()-ROW(PaymentSchedule4[[#Headers],[PMT NO]])&gt;ScheduledNumberOfPayments,"",ROW()-ROW(PaymentSchedule4[[#Headers],[PMT NO]])),"")</f>
        <v>337</v>
      </c>
      <c r="C352" s="31">
        <f>IF(PaymentSchedule4[[#This Row],[PMT NO]]&lt;&gt;"",EOMONTH(LoanStartDate,ROW(PaymentSchedule4[[#This Row],[PMT NO]])-ROW(PaymentSchedule4[[#Headers],[PMT NO]])-2)+DAY(LoanStartDate),"")</f>
        <v>53601</v>
      </c>
      <c r="D352" s="32">
        <f>IF(PaymentSchedule4[[#This Row],[PMT NO]]&lt;&gt;"",IF(ROW()-ROW(PaymentSchedule4[[#Headers],[BEGINNING BALANCE]])=1,LoanAmount,INDEX(PaymentSchedule4[ENDING BALANCE],ROW()-ROW(PaymentSchedule4[[#Headers],[BEGINNING BALANCE]])-1)),"")</f>
        <v>17412.739326733819</v>
      </c>
      <c r="E352" s="32">
        <f>IF(PaymentSchedule4[[#This Row],[PMT NO]]&lt;&gt;"",ScheduledPayment,"")</f>
        <v>760.02796473882097</v>
      </c>
      <c r="F35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5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52" s="32">
        <f>IF(PaymentSchedule4[[#This Row],[PMT NO]]&lt;&gt;"",PaymentSchedule4[[#This Row],[TOTAL PAYMENT]]-PaymentSchedule4[[#This Row],[INTEREST]],"")</f>
        <v>694.73019226356917</v>
      </c>
      <c r="I352" s="32">
        <f>IF(PaymentSchedule4[[#This Row],[PMT NO]]&lt;&gt;"",PaymentSchedule4[[#This Row],[BEGINNING BALANCE]]*(InterestRate/PaymentsPerYear),"")</f>
        <v>65.297772475251818</v>
      </c>
      <c r="J35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16718.009134470249</v>
      </c>
      <c r="K352" s="32">
        <f>IF(PaymentSchedule4[[#This Row],[PMT NO]]&lt;&gt;"",SUM(INDEX(PaymentSchedule4[INTEREST],1,1):PaymentSchedule4[[#This Row],[INTEREST]]),"")</f>
        <v>122847.43325145282</v>
      </c>
    </row>
    <row r="353" spans="2:11" x14ac:dyDescent="0.3">
      <c r="B353" s="30">
        <f>IF(LoanIsGood,IF(ROW()-ROW(PaymentSchedule4[[#Headers],[PMT NO]])&gt;ScheduledNumberOfPayments,"",ROW()-ROW(PaymentSchedule4[[#Headers],[PMT NO]])),"")</f>
        <v>338</v>
      </c>
      <c r="C353" s="31">
        <f>IF(PaymentSchedule4[[#This Row],[PMT NO]]&lt;&gt;"",EOMONTH(LoanStartDate,ROW(PaymentSchedule4[[#This Row],[PMT NO]])-ROW(PaymentSchedule4[[#Headers],[PMT NO]])-2)+DAY(LoanStartDate),"")</f>
        <v>53632</v>
      </c>
      <c r="D353" s="32">
        <f>IF(PaymentSchedule4[[#This Row],[PMT NO]]&lt;&gt;"",IF(ROW()-ROW(PaymentSchedule4[[#Headers],[BEGINNING BALANCE]])=1,LoanAmount,INDEX(PaymentSchedule4[ENDING BALANCE],ROW()-ROW(PaymentSchedule4[[#Headers],[BEGINNING BALANCE]])-1)),"")</f>
        <v>16718.009134470249</v>
      </c>
      <c r="E353" s="32">
        <f>IF(PaymentSchedule4[[#This Row],[PMT NO]]&lt;&gt;"",ScheduledPayment,"")</f>
        <v>760.02796473882097</v>
      </c>
      <c r="F35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5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53" s="32">
        <f>IF(PaymentSchedule4[[#This Row],[PMT NO]]&lt;&gt;"",PaymentSchedule4[[#This Row],[TOTAL PAYMENT]]-PaymentSchedule4[[#This Row],[INTEREST]],"")</f>
        <v>697.33543048455749</v>
      </c>
      <c r="I353" s="32">
        <f>IF(PaymentSchedule4[[#This Row],[PMT NO]]&lt;&gt;"",PaymentSchedule4[[#This Row],[BEGINNING BALANCE]]*(InterestRate/PaymentsPerYear),"")</f>
        <v>62.692534254263428</v>
      </c>
      <c r="J35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16020.673703985691</v>
      </c>
      <c r="K353" s="32">
        <f>IF(PaymentSchedule4[[#This Row],[PMT NO]]&lt;&gt;"",SUM(INDEX(PaymentSchedule4[INTEREST],1,1):PaymentSchedule4[[#This Row],[INTEREST]]),"")</f>
        <v>122910.12578570709</v>
      </c>
    </row>
    <row r="354" spans="2:11" x14ac:dyDescent="0.3">
      <c r="B354" s="30">
        <f>IF(LoanIsGood,IF(ROW()-ROW(PaymentSchedule4[[#Headers],[PMT NO]])&gt;ScheduledNumberOfPayments,"",ROW()-ROW(PaymentSchedule4[[#Headers],[PMT NO]])),"")</f>
        <v>339</v>
      </c>
      <c r="C354" s="31">
        <f>IF(PaymentSchedule4[[#This Row],[PMT NO]]&lt;&gt;"",EOMONTH(LoanStartDate,ROW(PaymentSchedule4[[#This Row],[PMT NO]])-ROW(PaymentSchedule4[[#Headers],[PMT NO]])-2)+DAY(LoanStartDate),"")</f>
        <v>53662</v>
      </c>
      <c r="D354" s="32">
        <f>IF(PaymentSchedule4[[#This Row],[PMT NO]]&lt;&gt;"",IF(ROW()-ROW(PaymentSchedule4[[#Headers],[BEGINNING BALANCE]])=1,LoanAmount,INDEX(PaymentSchedule4[ENDING BALANCE],ROW()-ROW(PaymentSchedule4[[#Headers],[BEGINNING BALANCE]])-1)),"")</f>
        <v>16020.673703985691</v>
      </c>
      <c r="E354" s="32">
        <f>IF(PaymentSchedule4[[#This Row],[PMT NO]]&lt;&gt;"",ScheduledPayment,"")</f>
        <v>760.02796473882097</v>
      </c>
      <c r="F35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5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54" s="32">
        <f>IF(PaymentSchedule4[[#This Row],[PMT NO]]&lt;&gt;"",PaymentSchedule4[[#This Row],[TOTAL PAYMENT]]-PaymentSchedule4[[#This Row],[INTEREST]],"")</f>
        <v>699.95043834887463</v>
      </c>
      <c r="I354" s="32">
        <f>IF(PaymentSchedule4[[#This Row],[PMT NO]]&lt;&gt;"",PaymentSchedule4[[#This Row],[BEGINNING BALANCE]]*(InterestRate/PaymentsPerYear),"")</f>
        <v>60.077526389946335</v>
      </c>
      <c r="J35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15320.723265636816</v>
      </c>
      <c r="K354" s="32">
        <f>IF(PaymentSchedule4[[#This Row],[PMT NO]]&lt;&gt;"",SUM(INDEX(PaymentSchedule4[INTEREST],1,1):PaymentSchedule4[[#This Row],[INTEREST]]),"")</f>
        <v>122970.20331209703</v>
      </c>
    </row>
    <row r="355" spans="2:11" x14ac:dyDescent="0.3">
      <c r="B355" s="30">
        <f>IF(LoanIsGood,IF(ROW()-ROW(PaymentSchedule4[[#Headers],[PMT NO]])&gt;ScheduledNumberOfPayments,"",ROW()-ROW(PaymentSchedule4[[#Headers],[PMT NO]])),"")</f>
        <v>340</v>
      </c>
      <c r="C355" s="31">
        <f>IF(PaymentSchedule4[[#This Row],[PMT NO]]&lt;&gt;"",EOMONTH(LoanStartDate,ROW(PaymentSchedule4[[#This Row],[PMT NO]])-ROW(PaymentSchedule4[[#Headers],[PMT NO]])-2)+DAY(LoanStartDate),"")</f>
        <v>53693</v>
      </c>
      <c r="D355" s="32">
        <f>IF(PaymentSchedule4[[#This Row],[PMT NO]]&lt;&gt;"",IF(ROW()-ROW(PaymentSchedule4[[#Headers],[BEGINNING BALANCE]])=1,LoanAmount,INDEX(PaymentSchedule4[ENDING BALANCE],ROW()-ROW(PaymentSchedule4[[#Headers],[BEGINNING BALANCE]])-1)),"")</f>
        <v>15320.723265636816</v>
      </c>
      <c r="E355" s="32">
        <f>IF(PaymentSchedule4[[#This Row],[PMT NO]]&lt;&gt;"",ScheduledPayment,"")</f>
        <v>760.02796473882097</v>
      </c>
      <c r="F35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5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55" s="32">
        <f>IF(PaymentSchedule4[[#This Row],[PMT NO]]&lt;&gt;"",PaymentSchedule4[[#This Row],[TOTAL PAYMENT]]-PaymentSchedule4[[#This Row],[INTEREST]],"")</f>
        <v>702.57525249268292</v>
      </c>
      <c r="I355" s="32">
        <f>IF(PaymentSchedule4[[#This Row],[PMT NO]]&lt;&gt;"",PaymentSchedule4[[#This Row],[BEGINNING BALANCE]]*(InterestRate/PaymentsPerYear),"")</f>
        <v>57.452712246138056</v>
      </c>
      <c r="J35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14618.148013144133</v>
      </c>
      <c r="K355" s="32">
        <f>IF(PaymentSchedule4[[#This Row],[PMT NO]]&lt;&gt;"",SUM(INDEX(PaymentSchedule4[INTEREST],1,1):PaymentSchedule4[[#This Row],[INTEREST]]),"")</f>
        <v>123027.65602434317</v>
      </c>
    </row>
    <row r="356" spans="2:11" x14ac:dyDescent="0.3">
      <c r="B356" s="30">
        <f>IF(LoanIsGood,IF(ROW()-ROW(PaymentSchedule4[[#Headers],[PMT NO]])&gt;ScheduledNumberOfPayments,"",ROW()-ROW(PaymentSchedule4[[#Headers],[PMT NO]])),"")</f>
        <v>341</v>
      </c>
      <c r="C356" s="31">
        <f>IF(PaymentSchedule4[[#This Row],[PMT NO]]&lt;&gt;"",EOMONTH(LoanStartDate,ROW(PaymentSchedule4[[#This Row],[PMT NO]])-ROW(PaymentSchedule4[[#Headers],[PMT NO]])-2)+DAY(LoanStartDate),"")</f>
        <v>53724</v>
      </c>
      <c r="D356" s="32">
        <f>IF(PaymentSchedule4[[#This Row],[PMT NO]]&lt;&gt;"",IF(ROW()-ROW(PaymentSchedule4[[#Headers],[BEGINNING BALANCE]])=1,LoanAmount,INDEX(PaymentSchedule4[ENDING BALANCE],ROW()-ROW(PaymentSchedule4[[#Headers],[BEGINNING BALANCE]])-1)),"")</f>
        <v>14618.148013144133</v>
      </c>
      <c r="E356" s="32">
        <f>IF(PaymentSchedule4[[#This Row],[PMT NO]]&lt;&gt;"",ScheduledPayment,"")</f>
        <v>760.02796473882097</v>
      </c>
      <c r="F35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5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56" s="32">
        <f>IF(PaymentSchedule4[[#This Row],[PMT NO]]&lt;&gt;"",PaymentSchedule4[[#This Row],[TOTAL PAYMENT]]-PaymentSchedule4[[#This Row],[INTEREST]],"")</f>
        <v>705.20990968953049</v>
      </c>
      <c r="I356" s="32">
        <f>IF(PaymentSchedule4[[#This Row],[PMT NO]]&lt;&gt;"",PaymentSchedule4[[#This Row],[BEGINNING BALANCE]]*(InterestRate/PaymentsPerYear),"")</f>
        <v>54.8180550492905</v>
      </c>
      <c r="J35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13912.938103454602</v>
      </c>
      <c r="K356" s="32">
        <f>IF(PaymentSchedule4[[#This Row],[PMT NO]]&lt;&gt;"",SUM(INDEX(PaymentSchedule4[INTEREST],1,1):PaymentSchedule4[[#This Row],[INTEREST]]),"")</f>
        <v>123082.47407939246</v>
      </c>
    </row>
    <row r="357" spans="2:11" x14ac:dyDescent="0.3">
      <c r="B357" s="30">
        <f>IF(LoanIsGood,IF(ROW()-ROW(PaymentSchedule4[[#Headers],[PMT NO]])&gt;ScheduledNumberOfPayments,"",ROW()-ROW(PaymentSchedule4[[#Headers],[PMT NO]])),"")</f>
        <v>342</v>
      </c>
      <c r="C357" s="31">
        <f>IF(PaymentSchedule4[[#This Row],[PMT NO]]&lt;&gt;"",EOMONTH(LoanStartDate,ROW(PaymentSchedule4[[#This Row],[PMT NO]])-ROW(PaymentSchedule4[[#Headers],[PMT NO]])-2)+DAY(LoanStartDate),"")</f>
        <v>53752</v>
      </c>
      <c r="D357" s="32">
        <f>IF(PaymentSchedule4[[#This Row],[PMT NO]]&lt;&gt;"",IF(ROW()-ROW(PaymentSchedule4[[#Headers],[BEGINNING BALANCE]])=1,LoanAmount,INDEX(PaymentSchedule4[ENDING BALANCE],ROW()-ROW(PaymentSchedule4[[#Headers],[BEGINNING BALANCE]])-1)),"")</f>
        <v>13912.938103454602</v>
      </c>
      <c r="E357" s="32">
        <f>IF(PaymentSchedule4[[#This Row],[PMT NO]]&lt;&gt;"",ScheduledPayment,"")</f>
        <v>760.02796473882097</v>
      </c>
      <c r="F35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5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57" s="32">
        <f>IF(PaymentSchedule4[[#This Row],[PMT NO]]&lt;&gt;"",PaymentSchedule4[[#This Row],[TOTAL PAYMENT]]-PaymentSchedule4[[#This Row],[INTEREST]],"")</f>
        <v>707.85444685086622</v>
      </c>
      <c r="I357" s="32">
        <f>IF(PaymentSchedule4[[#This Row],[PMT NO]]&lt;&gt;"",PaymentSchedule4[[#This Row],[BEGINNING BALANCE]]*(InterestRate/PaymentsPerYear),"")</f>
        <v>52.173517887954759</v>
      </c>
      <c r="J35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13205.083656603736</v>
      </c>
      <c r="K357" s="32">
        <f>IF(PaymentSchedule4[[#This Row],[PMT NO]]&lt;&gt;"",SUM(INDEX(PaymentSchedule4[INTEREST],1,1):PaymentSchedule4[[#This Row],[INTEREST]]),"")</f>
        <v>123134.64759728042</v>
      </c>
    </row>
    <row r="358" spans="2:11" x14ac:dyDescent="0.3">
      <c r="B358" s="30">
        <f>IF(LoanIsGood,IF(ROW()-ROW(PaymentSchedule4[[#Headers],[PMT NO]])&gt;ScheduledNumberOfPayments,"",ROW()-ROW(PaymentSchedule4[[#Headers],[PMT NO]])),"")</f>
        <v>343</v>
      </c>
      <c r="C358" s="31">
        <f>IF(PaymentSchedule4[[#This Row],[PMT NO]]&lt;&gt;"",EOMONTH(LoanStartDate,ROW(PaymentSchedule4[[#This Row],[PMT NO]])-ROW(PaymentSchedule4[[#Headers],[PMT NO]])-2)+DAY(LoanStartDate),"")</f>
        <v>53783</v>
      </c>
      <c r="D358" s="32">
        <f>IF(PaymentSchedule4[[#This Row],[PMT NO]]&lt;&gt;"",IF(ROW()-ROW(PaymentSchedule4[[#Headers],[BEGINNING BALANCE]])=1,LoanAmount,INDEX(PaymentSchedule4[ENDING BALANCE],ROW()-ROW(PaymentSchedule4[[#Headers],[BEGINNING BALANCE]])-1)),"")</f>
        <v>13205.083656603736</v>
      </c>
      <c r="E358" s="32">
        <f>IF(PaymentSchedule4[[#This Row],[PMT NO]]&lt;&gt;"",ScheduledPayment,"")</f>
        <v>760.02796473882097</v>
      </c>
      <c r="F35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5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58" s="32">
        <f>IF(PaymentSchedule4[[#This Row],[PMT NO]]&lt;&gt;"",PaymentSchedule4[[#This Row],[TOTAL PAYMENT]]-PaymentSchedule4[[#This Row],[INTEREST]],"")</f>
        <v>710.50890102655694</v>
      </c>
      <c r="I358" s="32">
        <f>IF(PaymentSchedule4[[#This Row],[PMT NO]]&lt;&gt;"",PaymentSchedule4[[#This Row],[BEGINNING BALANCE]]*(InterestRate/PaymentsPerYear),"")</f>
        <v>49.519063712264007</v>
      </c>
      <c r="J35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12494.57475557718</v>
      </c>
      <c r="K358" s="32">
        <f>IF(PaymentSchedule4[[#This Row],[PMT NO]]&lt;&gt;"",SUM(INDEX(PaymentSchedule4[INTEREST],1,1):PaymentSchedule4[[#This Row],[INTEREST]]),"")</f>
        <v>123184.16666099268</v>
      </c>
    </row>
    <row r="359" spans="2:11" x14ac:dyDescent="0.3">
      <c r="B359" s="30">
        <f>IF(LoanIsGood,IF(ROW()-ROW(PaymentSchedule4[[#Headers],[PMT NO]])&gt;ScheduledNumberOfPayments,"",ROW()-ROW(PaymentSchedule4[[#Headers],[PMT NO]])),"")</f>
        <v>344</v>
      </c>
      <c r="C359" s="31">
        <f>IF(PaymentSchedule4[[#This Row],[PMT NO]]&lt;&gt;"",EOMONTH(LoanStartDate,ROW(PaymentSchedule4[[#This Row],[PMT NO]])-ROW(PaymentSchedule4[[#Headers],[PMT NO]])-2)+DAY(LoanStartDate),"")</f>
        <v>53813</v>
      </c>
      <c r="D359" s="32">
        <f>IF(PaymentSchedule4[[#This Row],[PMT NO]]&lt;&gt;"",IF(ROW()-ROW(PaymentSchedule4[[#Headers],[BEGINNING BALANCE]])=1,LoanAmount,INDEX(PaymentSchedule4[ENDING BALANCE],ROW()-ROW(PaymentSchedule4[[#Headers],[BEGINNING BALANCE]])-1)),"")</f>
        <v>12494.57475557718</v>
      </c>
      <c r="E359" s="32">
        <f>IF(PaymentSchedule4[[#This Row],[PMT NO]]&lt;&gt;"",ScheduledPayment,"")</f>
        <v>760.02796473882097</v>
      </c>
      <c r="F35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5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59" s="32">
        <f>IF(PaymentSchedule4[[#This Row],[PMT NO]]&lt;&gt;"",PaymentSchedule4[[#This Row],[TOTAL PAYMENT]]-PaymentSchedule4[[#This Row],[INTEREST]],"")</f>
        <v>713.1733094054066</v>
      </c>
      <c r="I359" s="32">
        <f>IF(PaymentSchedule4[[#This Row],[PMT NO]]&lt;&gt;"",PaymentSchedule4[[#This Row],[BEGINNING BALANCE]]*(InterestRate/PaymentsPerYear),"")</f>
        <v>46.854655333414421</v>
      </c>
      <c r="J35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11781.401446171772</v>
      </c>
      <c r="K359" s="32">
        <f>IF(PaymentSchedule4[[#This Row],[PMT NO]]&lt;&gt;"",SUM(INDEX(PaymentSchedule4[INTEREST],1,1):PaymentSchedule4[[#This Row],[INTEREST]]),"")</f>
        <v>123231.02131632609</v>
      </c>
    </row>
    <row r="360" spans="2:11" x14ac:dyDescent="0.3">
      <c r="B360" s="30">
        <f>IF(LoanIsGood,IF(ROW()-ROW(PaymentSchedule4[[#Headers],[PMT NO]])&gt;ScheduledNumberOfPayments,"",ROW()-ROW(PaymentSchedule4[[#Headers],[PMT NO]])),"")</f>
        <v>345</v>
      </c>
      <c r="C360" s="31">
        <f>IF(PaymentSchedule4[[#This Row],[PMT NO]]&lt;&gt;"",EOMONTH(LoanStartDate,ROW(PaymentSchedule4[[#This Row],[PMT NO]])-ROW(PaymentSchedule4[[#Headers],[PMT NO]])-2)+DAY(LoanStartDate),"")</f>
        <v>53844</v>
      </c>
      <c r="D360" s="32">
        <f>IF(PaymentSchedule4[[#This Row],[PMT NO]]&lt;&gt;"",IF(ROW()-ROW(PaymentSchedule4[[#Headers],[BEGINNING BALANCE]])=1,LoanAmount,INDEX(PaymentSchedule4[ENDING BALANCE],ROW()-ROW(PaymentSchedule4[[#Headers],[BEGINNING BALANCE]])-1)),"")</f>
        <v>11781.401446171772</v>
      </c>
      <c r="E360" s="32">
        <f>IF(PaymentSchedule4[[#This Row],[PMT NO]]&lt;&gt;"",ScheduledPayment,"")</f>
        <v>760.02796473882097</v>
      </c>
      <c r="F36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6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60" s="32">
        <f>IF(PaymentSchedule4[[#This Row],[PMT NO]]&lt;&gt;"",PaymentSchedule4[[#This Row],[TOTAL PAYMENT]]-PaymentSchedule4[[#This Row],[INTEREST]],"")</f>
        <v>715.84770931567687</v>
      </c>
      <c r="I360" s="32">
        <f>IF(PaymentSchedule4[[#This Row],[PMT NO]]&lt;&gt;"",PaymentSchedule4[[#This Row],[BEGINNING BALANCE]]*(InterestRate/PaymentsPerYear),"")</f>
        <v>44.180255423144146</v>
      </c>
      <c r="J36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11065.553736856096</v>
      </c>
      <c r="K360" s="32">
        <f>IF(PaymentSchedule4[[#This Row],[PMT NO]]&lt;&gt;"",SUM(INDEX(PaymentSchedule4[INTEREST],1,1):PaymentSchedule4[[#This Row],[INTEREST]]),"")</f>
        <v>123275.20157174923</v>
      </c>
    </row>
    <row r="361" spans="2:11" x14ac:dyDescent="0.3">
      <c r="B361" s="30">
        <f>IF(LoanIsGood,IF(ROW()-ROW(PaymentSchedule4[[#Headers],[PMT NO]])&gt;ScheduledNumberOfPayments,"",ROW()-ROW(PaymentSchedule4[[#Headers],[PMT NO]])),"")</f>
        <v>346</v>
      </c>
      <c r="C361" s="31">
        <f>IF(PaymentSchedule4[[#This Row],[PMT NO]]&lt;&gt;"",EOMONTH(LoanStartDate,ROW(PaymentSchedule4[[#This Row],[PMT NO]])-ROW(PaymentSchedule4[[#Headers],[PMT NO]])-2)+DAY(LoanStartDate),"")</f>
        <v>53874</v>
      </c>
      <c r="D361" s="32">
        <f>IF(PaymentSchedule4[[#This Row],[PMT NO]]&lt;&gt;"",IF(ROW()-ROW(PaymentSchedule4[[#Headers],[BEGINNING BALANCE]])=1,LoanAmount,INDEX(PaymentSchedule4[ENDING BALANCE],ROW()-ROW(PaymentSchedule4[[#Headers],[BEGINNING BALANCE]])-1)),"")</f>
        <v>11065.553736856096</v>
      </c>
      <c r="E361" s="32">
        <f>IF(PaymentSchedule4[[#This Row],[PMT NO]]&lt;&gt;"",ScheduledPayment,"")</f>
        <v>760.02796473882097</v>
      </c>
      <c r="F36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6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61" s="32">
        <f>IF(PaymentSchedule4[[#This Row],[PMT NO]]&lt;&gt;"",PaymentSchedule4[[#This Row],[TOTAL PAYMENT]]-PaymentSchedule4[[#This Row],[INTEREST]],"")</f>
        <v>718.53213822561065</v>
      </c>
      <c r="I361" s="32">
        <f>IF(PaymentSchedule4[[#This Row],[PMT NO]]&lt;&gt;"",PaymentSchedule4[[#This Row],[BEGINNING BALANCE]]*(InterestRate/PaymentsPerYear),"")</f>
        <v>41.495826513210361</v>
      </c>
      <c r="J36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10347.021598630487</v>
      </c>
      <c r="K361" s="32">
        <f>IF(PaymentSchedule4[[#This Row],[PMT NO]]&lt;&gt;"",SUM(INDEX(PaymentSchedule4[INTEREST],1,1):PaymentSchedule4[[#This Row],[INTEREST]]),"")</f>
        <v>123316.69739826245</v>
      </c>
    </row>
    <row r="362" spans="2:11" x14ac:dyDescent="0.3">
      <c r="B362" s="30">
        <f>IF(LoanIsGood,IF(ROW()-ROW(PaymentSchedule4[[#Headers],[PMT NO]])&gt;ScheduledNumberOfPayments,"",ROW()-ROW(PaymentSchedule4[[#Headers],[PMT NO]])),"")</f>
        <v>347</v>
      </c>
      <c r="C362" s="31">
        <f>IF(PaymentSchedule4[[#This Row],[PMT NO]]&lt;&gt;"",EOMONTH(LoanStartDate,ROW(PaymentSchedule4[[#This Row],[PMT NO]])-ROW(PaymentSchedule4[[#Headers],[PMT NO]])-2)+DAY(LoanStartDate),"")</f>
        <v>53905</v>
      </c>
      <c r="D362" s="32">
        <f>IF(PaymentSchedule4[[#This Row],[PMT NO]]&lt;&gt;"",IF(ROW()-ROW(PaymentSchedule4[[#Headers],[BEGINNING BALANCE]])=1,LoanAmount,INDEX(PaymentSchedule4[ENDING BALANCE],ROW()-ROW(PaymentSchedule4[[#Headers],[BEGINNING BALANCE]])-1)),"")</f>
        <v>10347.021598630487</v>
      </c>
      <c r="E362" s="32">
        <f>IF(PaymentSchedule4[[#This Row],[PMT NO]]&lt;&gt;"",ScheduledPayment,"")</f>
        <v>760.02796473882097</v>
      </c>
      <c r="F36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6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62" s="32">
        <f>IF(PaymentSchedule4[[#This Row],[PMT NO]]&lt;&gt;"",PaymentSchedule4[[#This Row],[TOTAL PAYMENT]]-PaymentSchedule4[[#This Row],[INTEREST]],"")</f>
        <v>721.22663374395665</v>
      </c>
      <c r="I362" s="32">
        <f>IF(PaymentSchedule4[[#This Row],[PMT NO]]&lt;&gt;"",PaymentSchedule4[[#This Row],[BEGINNING BALANCE]]*(InterestRate/PaymentsPerYear),"")</f>
        <v>38.801330994864323</v>
      </c>
      <c r="J36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9625.7949648865306</v>
      </c>
      <c r="K362" s="32">
        <f>IF(PaymentSchedule4[[#This Row],[PMT NO]]&lt;&gt;"",SUM(INDEX(PaymentSchedule4[INTEREST],1,1):PaymentSchedule4[[#This Row],[INTEREST]]),"")</f>
        <v>123355.49872925731</v>
      </c>
    </row>
    <row r="363" spans="2:11" x14ac:dyDescent="0.3">
      <c r="B363" s="30">
        <f>IF(LoanIsGood,IF(ROW()-ROW(PaymentSchedule4[[#Headers],[PMT NO]])&gt;ScheduledNumberOfPayments,"",ROW()-ROW(PaymentSchedule4[[#Headers],[PMT NO]])),"")</f>
        <v>348</v>
      </c>
      <c r="C363" s="31">
        <f>IF(PaymentSchedule4[[#This Row],[PMT NO]]&lt;&gt;"",EOMONTH(LoanStartDate,ROW(PaymentSchedule4[[#This Row],[PMT NO]])-ROW(PaymentSchedule4[[#Headers],[PMT NO]])-2)+DAY(LoanStartDate),"")</f>
        <v>53936</v>
      </c>
      <c r="D363" s="32">
        <f>IF(PaymentSchedule4[[#This Row],[PMT NO]]&lt;&gt;"",IF(ROW()-ROW(PaymentSchedule4[[#Headers],[BEGINNING BALANCE]])=1,LoanAmount,INDEX(PaymentSchedule4[ENDING BALANCE],ROW()-ROW(PaymentSchedule4[[#Headers],[BEGINNING BALANCE]])-1)),"")</f>
        <v>9625.7949648865306</v>
      </c>
      <c r="E363" s="32">
        <f>IF(PaymentSchedule4[[#This Row],[PMT NO]]&lt;&gt;"",ScheduledPayment,"")</f>
        <v>760.02796473882097</v>
      </c>
      <c r="F36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6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63" s="32">
        <f>IF(PaymentSchedule4[[#This Row],[PMT NO]]&lt;&gt;"",PaymentSchedule4[[#This Row],[TOTAL PAYMENT]]-PaymentSchedule4[[#This Row],[INTEREST]],"")</f>
        <v>723.93123362049653</v>
      </c>
      <c r="I363" s="32">
        <f>IF(PaymentSchedule4[[#This Row],[PMT NO]]&lt;&gt;"",PaymentSchedule4[[#This Row],[BEGINNING BALANCE]]*(InterestRate/PaymentsPerYear),"")</f>
        <v>36.096731118324492</v>
      </c>
      <c r="J36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8901.8637312660339</v>
      </c>
      <c r="K363" s="32">
        <f>IF(PaymentSchedule4[[#This Row],[PMT NO]]&lt;&gt;"",SUM(INDEX(PaymentSchedule4[INTEREST],1,1):PaymentSchedule4[[#This Row],[INTEREST]]),"")</f>
        <v>123391.59546037563</v>
      </c>
    </row>
    <row r="364" spans="2:11" x14ac:dyDescent="0.3">
      <c r="B364" s="30">
        <f>IF(LoanIsGood,IF(ROW()-ROW(PaymentSchedule4[[#Headers],[PMT NO]])&gt;ScheduledNumberOfPayments,"",ROW()-ROW(PaymentSchedule4[[#Headers],[PMT NO]])),"")</f>
        <v>349</v>
      </c>
      <c r="C364" s="31">
        <f>IF(PaymentSchedule4[[#This Row],[PMT NO]]&lt;&gt;"",EOMONTH(LoanStartDate,ROW(PaymentSchedule4[[#This Row],[PMT NO]])-ROW(PaymentSchedule4[[#Headers],[PMT NO]])-2)+DAY(LoanStartDate),"")</f>
        <v>53966</v>
      </c>
      <c r="D364" s="32">
        <f>IF(PaymentSchedule4[[#This Row],[PMT NO]]&lt;&gt;"",IF(ROW()-ROW(PaymentSchedule4[[#Headers],[BEGINNING BALANCE]])=1,LoanAmount,INDEX(PaymentSchedule4[ENDING BALANCE],ROW()-ROW(PaymentSchedule4[[#Headers],[BEGINNING BALANCE]])-1)),"")</f>
        <v>8901.8637312660339</v>
      </c>
      <c r="E364" s="32">
        <f>IF(PaymentSchedule4[[#This Row],[PMT NO]]&lt;&gt;"",ScheduledPayment,"")</f>
        <v>760.02796473882097</v>
      </c>
      <c r="F36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6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64" s="32">
        <f>IF(PaymentSchedule4[[#This Row],[PMT NO]]&lt;&gt;"",PaymentSchedule4[[#This Row],[TOTAL PAYMENT]]-PaymentSchedule4[[#This Row],[INTEREST]],"")</f>
        <v>726.6459757465733</v>
      </c>
      <c r="I364" s="32">
        <f>IF(PaymentSchedule4[[#This Row],[PMT NO]]&lt;&gt;"",PaymentSchedule4[[#This Row],[BEGINNING BALANCE]]*(InterestRate/PaymentsPerYear),"")</f>
        <v>33.381988992247628</v>
      </c>
      <c r="J36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8175.2177555194603</v>
      </c>
      <c r="K364" s="32">
        <f>IF(PaymentSchedule4[[#This Row],[PMT NO]]&lt;&gt;"",SUM(INDEX(PaymentSchedule4[INTEREST],1,1):PaymentSchedule4[[#This Row],[INTEREST]]),"")</f>
        <v>123424.97744936787</v>
      </c>
    </row>
    <row r="365" spans="2:11" x14ac:dyDescent="0.3">
      <c r="B365" s="30">
        <f>IF(LoanIsGood,IF(ROW()-ROW(PaymentSchedule4[[#Headers],[PMT NO]])&gt;ScheduledNumberOfPayments,"",ROW()-ROW(PaymentSchedule4[[#Headers],[PMT NO]])),"")</f>
        <v>350</v>
      </c>
      <c r="C365" s="31">
        <f>IF(PaymentSchedule4[[#This Row],[PMT NO]]&lt;&gt;"",EOMONTH(LoanStartDate,ROW(PaymentSchedule4[[#This Row],[PMT NO]])-ROW(PaymentSchedule4[[#Headers],[PMT NO]])-2)+DAY(LoanStartDate),"")</f>
        <v>53997</v>
      </c>
      <c r="D365" s="32">
        <f>IF(PaymentSchedule4[[#This Row],[PMT NO]]&lt;&gt;"",IF(ROW()-ROW(PaymentSchedule4[[#Headers],[BEGINNING BALANCE]])=1,LoanAmount,INDEX(PaymentSchedule4[ENDING BALANCE],ROW()-ROW(PaymentSchedule4[[#Headers],[BEGINNING BALANCE]])-1)),"")</f>
        <v>8175.2177555194603</v>
      </c>
      <c r="E365" s="32">
        <f>IF(PaymentSchedule4[[#This Row],[PMT NO]]&lt;&gt;"",ScheduledPayment,"")</f>
        <v>760.02796473882097</v>
      </c>
      <c r="F36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6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65" s="32">
        <f>IF(PaymentSchedule4[[#This Row],[PMT NO]]&lt;&gt;"",PaymentSchedule4[[#This Row],[TOTAL PAYMENT]]-PaymentSchedule4[[#This Row],[INTEREST]],"")</f>
        <v>729.37089815562297</v>
      </c>
      <c r="I365" s="32">
        <f>IF(PaymentSchedule4[[#This Row],[PMT NO]]&lt;&gt;"",PaymentSchedule4[[#This Row],[BEGINNING BALANCE]]*(InterestRate/PaymentsPerYear),"")</f>
        <v>30.657066583197974</v>
      </c>
      <c r="J36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7445.8468573638374</v>
      </c>
      <c r="K365" s="32">
        <f>IF(PaymentSchedule4[[#This Row],[PMT NO]]&lt;&gt;"",SUM(INDEX(PaymentSchedule4[INTEREST],1,1):PaymentSchedule4[[#This Row],[INTEREST]]),"")</f>
        <v>123455.63451595107</v>
      </c>
    </row>
    <row r="366" spans="2:11" x14ac:dyDescent="0.3">
      <c r="B366" s="30">
        <f>IF(LoanIsGood,IF(ROW()-ROW(PaymentSchedule4[[#Headers],[PMT NO]])&gt;ScheduledNumberOfPayments,"",ROW()-ROW(PaymentSchedule4[[#Headers],[PMT NO]])),"")</f>
        <v>351</v>
      </c>
      <c r="C366" s="31">
        <f>IF(PaymentSchedule4[[#This Row],[PMT NO]]&lt;&gt;"",EOMONTH(LoanStartDate,ROW(PaymentSchedule4[[#This Row],[PMT NO]])-ROW(PaymentSchedule4[[#Headers],[PMT NO]])-2)+DAY(LoanStartDate),"")</f>
        <v>54027</v>
      </c>
      <c r="D366" s="32">
        <f>IF(PaymentSchedule4[[#This Row],[PMT NO]]&lt;&gt;"",IF(ROW()-ROW(PaymentSchedule4[[#Headers],[BEGINNING BALANCE]])=1,LoanAmount,INDEX(PaymentSchedule4[ENDING BALANCE],ROW()-ROW(PaymentSchedule4[[#Headers],[BEGINNING BALANCE]])-1)),"")</f>
        <v>7445.8468573638374</v>
      </c>
      <c r="E366" s="32">
        <f>IF(PaymentSchedule4[[#This Row],[PMT NO]]&lt;&gt;"",ScheduledPayment,"")</f>
        <v>760.02796473882097</v>
      </c>
      <c r="F366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66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66" s="32">
        <f>IF(PaymentSchedule4[[#This Row],[PMT NO]]&lt;&gt;"",PaymentSchedule4[[#This Row],[TOTAL PAYMENT]]-PaymentSchedule4[[#This Row],[INTEREST]],"")</f>
        <v>732.10603902370656</v>
      </c>
      <c r="I366" s="32">
        <f>IF(PaymentSchedule4[[#This Row],[PMT NO]]&lt;&gt;"",PaymentSchedule4[[#This Row],[BEGINNING BALANCE]]*(InterestRate/PaymentsPerYear),"")</f>
        <v>27.921925715114391</v>
      </c>
      <c r="J366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6713.7408183401312</v>
      </c>
      <c r="K366" s="32">
        <f>IF(PaymentSchedule4[[#This Row],[PMT NO]]&lt;&gt;"",SUM(INDEX(PaymentSchedule4[INTEREST],1,1):PaymentSchedule4[[#This Row],[INTEREST]]),"")</f>
        <v>123483.55644166618</v>
      </c>
    </row>
    <row r="367" spans="2:11" x14ac:dyDescent="0.3">
      <c r="B367" s="30">
        <f>IF(LoanIsGood,IF(ROW()-ROW(PaymentSchedule4[[#Headers],[PMT NO]])&gt;ScheduledNumberOfPayments,"",ROW()-ROW(PaymentSchedule4[[#Headers],[PMT NO]])),"")</f>
        <v>352</v>
      </c>
      <c r="C367" s="31">
        <f>IF(PaymentSchedule4[[#This Row],[PMT NO]]&lt;&gt;"",EOMONTH(LoanStartDate,ROW(PaymentSchedule4[[#This Row],[PMT NO]])-ROW(PaymentSchedule4[[#Headers],[PMT NO]])-2)+DAY(LoanStartDate),"")</f>
        <v>54058</v>
      </c>
      <c r="D367" s="32">
        <f>IF(PaymentSchedule4[[#This Row],[PMT NO]]&lt;&gt;"",IF(ROW()-ROW(PaymentSchedule4[[#Headers],[BEGINNING BALANCE]])=1,LoanAmount,INDEX(PaymentSchedule4[ENDING BALANCE],ROW()-ROW(PaymentSchedule4[[#Headers],[BEGINNING BALANCE]])-1)),"")</f>
        <v>6713.7408183401312</v>
      </c>
      <c r="E367" s="32">
        <f>IF(PaymentSchedule4[[#This Row],[PMT NO]]&lt;&gt;"",ScheduledPayment,"")</f>
        <v>760.02796473882097</v>
      </c>
      <c r="F367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67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67" s="32">
        <f>IF(PaymentSchedule4[[#This Row],[PMT NO]]&lt;&gt;"",PaymentSchedule4[[#This Row],[TOTAL PAYMENT]]-PaymentSchedule4[[#This Row],[INTEREST]],"")</f>
        <v>734.85143667004547</v>
      </c>
      <c r="I367" s="32">
        <f>IF(PaymentSchedule4[[#This Row],[PMT NO]]&lt;&gt;"",PaymentSchedule4[[#This Row],[BEGINNING BALANCE]]*(InterestRate/PaymentsPerYear),"")</f>
        <v>25.17652806877549</v>
      </c>
      <c r="J367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5978.8893816700856</v>
      </c>
      <c r="K367" s="32">
        <f>IF(PaymentSchedule4[[#This Row],[PMT NO]]&lt;&gt;"",SUM(INDEX(PaymentSchedule4[INTEREST],1,1):PaymentSchedule4[[#This Row],[INTEREST]]),"")</f>
        <v>123508.73296973495</v>
      </c>
    </row>
    <row r="368" spans="2:11" x14ac:dyDescent="0.3">
      <c r="B368" s="30">
        <f>IF(LoanIsGood,IF(ROW()-ROW(PaymentSchedule4[[#Headers],[PMT NO]])&gt;ScheduledNumberOfPayments,"",ROW()-ROW(PaymentSchedule4[[#Headers],[PMT NO]])),"")</f>
        <v>353</v>
      </c>
      <c r="C368" s="31">
        <f>IF(PaymentSchedule4[[#This Row],[PMT NO]]&lt;&gt;"",EOMONTH(LoanStartDate,ROW(PaymentSchedule4[[#This Row],[PMT NO]])-ROW(PaymentSchedule4[[#Headers],[PMT NO]])-2)+DAY(LoanStartDate),"")</f>
        <v>54089</v>
      </c>
      <c r="D368" s="32">
        <f>IF(PaymentSchedule4[[#This Row],[PMT NO]]&lt;&gt;"",IF(ROW()-ROW(PaymentSchedule4[[#Headers],[BEGINNING BALANCE]])=1,LoanAmount,INDEX(PaymentSchedule4[ENDING BALANCE],ROW()-ROW(PaymentSchedule4[[#Headers],[BEGINNING BALANCE]])-1)),"")</f>
        <v>5978.8893816700856</v>
      </c>
      <c r="E368" s="32">
        <f>IF(PaymentSchedule4[[#This Row],[PMT NO]]&lt;&gt;"",ScheduledPayment,"")</f>
        <v>760.02796473882097</v>
      </c>
      <c r="F368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68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68" s="32">
        <f>IF(PaymentSchedule4[[#This Row],[PMT NO]]&lt;&gt;"",PaymentSchedule4[[#This Row],[TOTAL PAYMENT]]-PaymentSchedule4[[#This Row],[INTEREST]],"")</f>
        <v>737.6071295575581</v>
      </c>
      <c r="I368" s="32">
        <f>IF(PaymentSchedule4[[#This Row],[PMT NO]]&lt;&gt;"",PaymentSchedule4[[#This Row],[BEGINNING BALANCE]]*(InterestRate/PaymentsPerYear),"")</f>
        <v>22.42083518126282</v>
      </c>
      <c r="J368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5241.2822521125272</v>
      </c>
      <c r="K368" s="32">
        <f>IF(PaymentSchedule4[[#This Row],[PMT NO]]&lt;&gt;"",SUM(INDEX(PaymentSchedule4[INTEREST],1,1):PaymentSchedule4[[#This Row],[INTEREST]]),"")</f>
        <v>123531.1538049162</v>
      </c>
    </row>
    <row r="369" spans="2:11" x14ac:dyDescent="0.3">
      <c r="B369" s="30">
        <f>IF(LoanIsGood,IF(ROW()-ROW(PaymentSchedule4[[#Headers],[PMT NO]])&gt;ScheduledNumberOfPayments,"",ROW()-ROW(PaymentSchedule4[[#Headers],[PMT NO]])),"")</f>
        <v>354</v>
      </c>
      <c r="C369" s="31">
        <f>IF(PaymentSchedule4[[#This Row],[PMT NO]]&lt;&gt;"",EOMONTH(LoanStartDate,ROW(PaymentSchedule4[[#This Row],[PMT NO]])-ROW(PaymentSchedule4[[#Headers],[PMT NO]])-2)+DAY(LoanStartDate),"")</f>
        <v>54118</v>
      </c>
      <c r="D369" s="32">
        <f>IF(PaymentSchedule4[[#This Row],[PMT NO]]&lt;&gt;"",IF(ROW()-ROW(PaymentSchedule4[[#Headers],[BEGINNING BALANCE]])=1,LoanAmount,INDEX(PaymentSchedule4[ENDING BALANCE],ROW()-ROW(PaymentSchedule4[[#Headers],[BEGINNING BALANCE]])-1)),"")</f>
        <v>5241.2822521125272</v>
      </c>
      <c r="E369" s="32">
        <f>IF(PaymentSchedule4[[#This Row],[PMT NO]]&lt;&gt;"",ScheduledPayment,"")</f>
        <v>760.02796473882097</v>
      </c>
      <c r="F369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69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69" s="32">
        <f>IF(PaymentSchedule4[[#This Row],[PMT NO]]&lt;&gt;"",PaymentSchedule4[[#This Row],[TOTAL PAYMENT]]-PaymentSchedule4[[#This Row],[INTEREST]],"")</f>
        <v>740.37315629339901</v>
      </c>
      <c r="I369" s="32">
        <f>IF(PaymentSchedule4[[#This Row],[PMT NO]]&lt;&gt;"",PaymentSchedule4[[#This Row],[BEGINNING BALANCE]]*(InterestRate/PaymentsPerYear),"")</f>
        <v>19.654808445421978</v>
      </c>
      <c r="J369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4500.9090958191282</v>
      </c>
      <c r="K369" s="32">
        <f>IF(PaymentSchedule4[[#This Row],[PMT NO]]&lt;&gt;"",SUM(INDEX(PaymentSchedule4[INTEREST],1,1):PaymentSchedule4[[#This Row],[INTEREST]]),"")</f>
        <v>123550.80861336163</v>
      </c>
    </row>
    <row r="370" spans="2:11" x14ac:dyDescent="0.3">
      <c r="B370" s="30">
        <f>IF(LoanIsGood,IF(ROW()-ROW(PaymentSchedule4[[#Headers],[PMT NO]])&gt;ScheduledNumberOfPayments,"",ROW()-ROW(PaymentSchedule4[[#Headers],[PMT NO]])),"")</f>
        <v>355</v>
      </c>
      <c r="C370" s="31">
        <f>IF(PaymentSchedule4[[#This Row],[PMT NO]]&lt;&gt;"",EOMONTH(LoanStartDate,ROW(PaymentSchedule4[[#This Row],[PMT NO]])-ROW(PaymentSchedule4[[#Headers],[PMT NO]])-2)+DAY(LoanStartDate),"")</f>
        <v>54149</v>
      </c>
      <c r="D370" s="32">
        <f>IF(PaymentSchedule4[[#This Row],[PMT NO]]&lt;&gt;"",IF(ROW()-ROW(PaymentSchedule4[[#Headers],[BEGINNING BALANCE]])=1,LoanAmount,INDEX(PaymentSchedule4[ENDING BALANCE],ROW()-ROW(PaymentSchedule4[[#Headers],[BEGINNING BALANCE]])-1)),"")</f>
        <v>4500.9090958191282</v>
      </c>
      <c r="E370" s="32">
        <f>IF(PaymentSchedule4[[#This Row],[PMT NO]]&lt;&gt;"",ScheduledPayment,"")</f>
        <v>760.02796473882097</v>
      </c>
      <c r="F370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70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70" s="32">
        <f>IF(PaymentSchedule4[[#This Row],[PMT NO]]&lt;&gt;"",PaymentSchedule4[[#This Row],[TOTAL PAYMENT]]-PaymentSchedule4[[#This Row],[INTEREST]],"")</f>
        <v>743.14955562949922</v>
      </c>
      <c r="I370" s="32">
        <f>IF(PaymentSchedule4[[#This Row],[PMT NO]]&lt;&gt;"",PaymentSchedule4[[#This Row],[BEGINNING BALANCE]]*(InterestRate/PaymentsPerYear),"")</f>
        <v>16.87840910932173</v>
      </c>
      <c r="J370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3757.7595401896288</v>
      </c>
      <c r="K370" s="32">
        <f>IF(PaymentSchedule4[[#This Row],[PMT NO]]&lt;&gt;"",SUM(INDEX(PaymentSchedule4[INTEREST],1,1):PaymentSchedule4[[#This Row],[INTEREST]]),"")</f>
        <v>123567.68702247096</v>
      </c>
    </row>
    <row r="371" spans="2:11" x14ac:dyDescent="0.3">
      <c r="B371" s="30">
        <f>IF(LoanIsGood,IF(ROW()-ROW(PaymentSchedule4[[#Headers],[PMT NO]])&gt;ScheduledNumberOfPayments,"",ROW()-ROW(PaymentSchedule4[[#Headers],[PMT NO]])),"")</f>
        <v>356</v>
      </c>
      <c r="C371" s="31">
        <f>IF(PaymentSchedule4[[#This Row],[PMT NO]]&lt;&gt;"",EOMONTH(LoanStartDate,ROW(PaymentSchedule4[[#This Row],[PMT NO]])-ROW(PaymentSchedule4[[#Headers],[PMT NO]])-2)+DAY(LoanStartDate),"")</f>
        <v>54179</v>
      </c>
      <c r="D371" s="32">
        <f>IF(PaymentSchedule4[[#This Row],[PMT NO]]&lt;&gt;"",IF(ROW()-ROW(PaymentSchedule4[[#Headers],[BEGINNING BALANCE]])=1,LoanAmount,INDEX(PaymentSchedule4[ENDING BALANCE],ROW()-ROW(PaymentSchedule4[[#Headers],[BEGINNING BALANCE]])-1)),"")</f>
        <v>3757.7595401896288</v>
      </c>
      <c r="E371" s="32">
        <f>IF(PaymentSchedule4[[#This Row],[PMT NO]]&lt;&gt;"",ScheduledPayment,"")</f>
        <v>760.02796473882097</v>
      </c>
      <c r="F371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71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71" s="32">
        <f>IF(PaymentSchedule4[[#This Row],[PMT NO]]&lt;&gt;"",PaymentSchedule4[[#This Row],[TOTAL PAYMENT]]-PaymentSchedule4[[#This Row],[INTEREST]],"")</f>
        <v>745.93636646310983</v>
      </c>
      <c r="I371" s="32">
        <f>IF(PaymentSchedule4[[#This Row],[PMT NO]]&lt;&gt;"",PaymentSchedule4[[#This Row],[BEGINNING BALANCE]]*(InterestRate/PaymentsPerYear),"")</f>
        <v>14.091598275711107</v>
      </c>
      <c r="J371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3011.8231737265187</v>
      </c>
      <c r="K371" s="32">
        <f>IF(PaymentSchedule4[[#This Row],[PMT NO]]&lt;&gt;"",SUM(INDEX(PaymentSchedule4[INTEREST],1,1):PaymentSchedule4[[#This Row],[INTEREST]]),"")</f>
        <v>123581.77862074667</v>
      </c>
    </row>
    <row r="372" spans="2:11" x14ac:dyDescent="0.3">
      <c r="B372" s="30">
        <f>IF(LoanIsGood,IF(ROW()-ROW(PaymentSchedule4[[#Headers],[PMT NO]])&gt;ScheduledNumberOfPayments,"",ROW()-ROW(PaymentSchedule4[[#Headers],[PMT NO]])),"")</f>
        <v>357</v>
      </c>
      <c r="C372" s="31">
        <f>IF(PaymentSchedule4[[#This Row],[PMT NO]]&lt;&gt;"",EOMONTH(LoanStartDate,ROW(PaymentSchedule4[[#This Row],[PMT NO]])-ROW(PaymentSchedule4[[#Headers],[PMT NO]])-2)+DAY(LoanStartDate),"")</f>
        <v>54210</v>
      </c>
      <c r="D372" s="32">
        <f>IF(PaymentSchedule4[[#This Row],[PMT NO]]&lt;&gt;"",IF(ROW()-ROW(PaymentSchedule4[[#Headers],[BEGINNING BALANCE]])=1,LoanAmount,INDEX(PaymentSchedule4[ENDING BALANCE],ROW()-ROW(PaymentSchedule4[[#Headers],[BEGINNING BALANCE]])-1)),"")</f>
        <v>3011.8231737265187</v>
      </c>
      <c r="E372" s="32">
        <f>IF(PaymentSchedule4[[#This Row],[PMT NO]]&lt;&gt;"",ScheduledPayment,"")</f>
        <v>760.02796473882097</v>
      </c>
      <c r="F372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72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72" s="32">
        <f>IF(PaymentSchedule4[[#This Row],[PMT NO]]&lt;&gt;"",PaymentSchedule4[[#This Row],[TOTAL PAYMENT]]-PaymentSchedule4[[#This Row],[INTEREST]],"")</f>
        <v>748.73362783734649</v>
      </c>
      <c r="I372" s="32">
        <f>IF(PaymentSchedule4[[#This Row],[PMT NO]]&lt;&gt;"",PaymentSchedule4[[#This Row],[BEGINNING BALANCE]]*(InterestRate/PaymentsPerYear),"")</f>
        <v>11.294336901474445</v>
      </c>
      <c r="J372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2263.0895458891723</v>
      </c>
      <c r="K372" s="32">
        <f>IF(PaymentSchedule4[[#This Row],[PMT NO]]&lt;&gt;"",SUM(INDEX(PaymentSchedule4[INTEREST],1,1):PaymentSchedule4[[#This Row],[INTEREST]]),"")</f>
        <v>123593.07295764814</v>
      </c>
    </row>
    <row r="373" spans="2:11" x14ac:dyDescent="0.3">
      <c r="B373" s="30">
        <f>IF(LoanIsGood,IF(ROW()-ROW(PaymentSchedule4[[#Headers],[PMT NO]])&gt;ScheduledNumberOfPayments,"",ROW()-ROW(PaymentSchedule4[[#Headers],[PMT NO]])),"")</f>
        <v>358</v>
      </c>
      <c r="C373" s="31">
        <f>IF(PaymentSchedule4[[#This Row],[PMT NO]]&lt;&gt;"",EOMONTH(LoanStartDate,ROW(PaymentSchedule4[[#This Row],[PMT NO]])-ROW(PaymentSchedule4[[#Headers],[PMT NO]])-2)+DAY(LoanStartDate),"")</f>
        <v>54240</v>
      </c>
      <c r="D373" s="32">
        <f>IF(PaymentSchedule4[[#This Row],[PMT NO]]&lt;&gt;"",IF(ROW()-ROW(PaymentSchedule4[[#Headers],[BEGINNING BALANCE]])=1,LoanAmount,INDEX(PaymentSchedule4[ENDING BALANCE],ROW()-ROW(PaymentSchedule4[[#Headers],[BEGINNING BALANCE]])-1)),"")</f>
        <v>2263.0895458891723</v>
      </c>
      <c r="E373" s="32">
        <f>IF(PaymentSchedule4[[#This Row],[PMT NO]]&lt;&gt;"",ScheduledPayment,"")</f>
        <v>760.02796473882097</v>
      </c>
      <c r="F373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73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73" s="32">
        <f>IF(PaymentSchedule4[[#This Row],[PMT NO]]&lt;&gt;"",PaymentSchedule4[[#This Row],[TOTAL PAYMENT]]-PaymentSchedule4[[#This Row],[INTEREST]],"")</f>
        <v>751.54137894173653</v>
      </c>
      <c r="I373" s="32">
        <f>IF(PaymentSchedule4[[#This Row],[PMT NO]]&lt;&gt;"",PaymentSchedule4[[#This Row],[BEGINNING BALANCE]]*(InterestRate/PaymentsPerYear),"")</f>
        <v>8.4865857970843965</v>
      </c>
      <c r="J373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1511.5481669474357</v>
      </c>
      <c r="K373" s="32">
        <f>IF(PaymentSchedule4[[#This Row],[PMT NO]]&lt;&gt;"",SUM(INDEX(PaymentSchedule4[INTEREST],1,1):PaymentSchedule4[[#This Row],[INTEREST]]),"")</f>
        <v>123601.55954344523</v>
      </c>
    </row>
    <row r="374" spans="2:11" x14ac:dyDescent="0.3">
      <c r="B374" s="30">
        <f>IF(LoanIsGood,IF(ROW()-ROW(PaymentSchedule4[[#Headers],[PMT NO]])&gt;ScheduledNumberOfPayments,"",ROW()-ROW(PaymentSchedule4[[#Headers],[PMT NO]])),"")</f>
        <v>359</v>
      </c>
      <c r="C374" s="31">
        <f>IF(PaymentSchedule4[[#This Row],[PMT NO]]&lt;&gt;"",EOMONTH(LoanStartDate,ROW(PaymentSchedule4[[#This Row],[PMT NO]])-ROW(PaymentSchedule4[[#Headers],[PMT NO]])-2)+DAY(LoanStartDate),"")</f>
        <v>54271</v>
      </c>
      <c r="D374" s="32">
        <f>IF(PaymentSchedule4[[#This Row],[PMT NO]]&lt;&gt;"",IF(ROW()-ROW(PaymentSchedule4[[#Headers],[BEGINNING BALANCE]])=1,LoanAmount,INDEX(PaymentSchedule4[ENDING BALANCE],ROW()-ROW(PaymentSchedule4[[#Headers],[BEGINNING BALANCE]])-1)),"")</f>
        <v>1511.5481669474357</v>
      </c>
      <c r="E374" s="32">
        <f>IF(PaymentSchedule4[[#This Row],[PMT NO]]&lt;&gt;"",ScheduledPayment,"")</f>
        <v>760.02796473882097</v>
      </c>
      <c r="F374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74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760.02796473882097</v>
      </c>
      <c r="H374" s="32">
        <f>IF(PaymentSchedule4[[#This Row],[PMT NO]]&lt;&gt;"",PaymentSchedule4[[#This Row],[TOTAL PAYMENT]]-PaymentSchedule4[[#This Row],[INTEREST]],"")</f>
        <v>754.3596591127681</v>
      </c>
      <c r="I374" s="32">
        <f>IF(PaymentSchedule4[[#This Row],[PMT NO]]&lt;&gt;"",PaymentSchedule4[[#This Row],[BEGINNING BALANCE]]*(InterestRate/PaymentsPerYear),"")</f>
        <v>5.6683056260528835</v>
      </c>
      <c r="J374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757.18850783466758</v>
      </c>
      <c r="K374" s="32">
        <f>IF(PaymentSchedule4[[#This Row],[PMT NO]]&lt;&gt;"",SUM(INDEX(PaymentSchedule4[INTEREST],1,1):PaymentSchedule4[[#This Row],[INTEREST]]),"")</f>
        <v>123607.22784907128</v>
      </c>
    </row>
    <row r="375" spans="2:11" x14ac:dyDescent="0.3">
      <c r="B375" s="30">
        <f>IF(LoanIsGood,IF(ROW()-ROW(PaymentSchedule4[[#Headers],[PMT NO]])&gt;ScheduledNumberOfPayments,"",ROW()-ROW(PaymentSchedule4[[#Headers],[PMT NO]])),"")</f>
        <v>360</v>
      </c>
      <c r="C375" s="31">
        <f>IF(PaymentSchedule4[[#This Row],[PMT NO]]&lt;&gt;"",EOMONTH(LoanStartDate,ROW(PaymentSchedule4[[#This Row],[PMT NO]])-ROW(PaymentSchedule4[[#Headers],[PMT NO]])-2)+DAY(LoanStartDate),"")</f>
        <v>54302</v>
      </c>
      <c r="D375" s="32">
        <f>IF(PaymentSchedule4[[#This Row],[PMT NO]]&lt;&gt;"",IF(ROW()-ROW(PaymentSchedule4[[#Headers],[BEGINNING BALANCE]])=1,LoanAmount,INDEX(PaymentSchedule4[ENDING BALANCE],ROW()-ROW(PaymentSchedule4[[#Headers],[BEGINNING BALANCE]])-1)),"")</f>
        <v>757.18850783466758</v>
      </c>
      <c r="E375" s="32">
        <f>IF(PaymentSchedule4[[#This Row],[PMT NO]]&lt;&gt;"",ScheduledPayment,"")</f>
        <v>760.02796473882097</v>
      </c>
      <c r="F375" s="32">
        <f>IF(PaymentSchedule4[[#This Row],[PMT NO]]&lt;&gt;"",IF(PaymentSchedule4[[#This Row],[SCHEDULED PAYMENT]]+ExtraPayments&lt;PaymentSchedule4[[#This Row],[BEGINNING BALANCE]],ExtraPayments,IF(PaymentSchedule4[[#This Row],[BEGINNING BALANCE]]-PaymentSchedule4[[#This Row],[SCHEDULED PAYMENT]]&gt;0,PaymentSchedule4[[#This Row],[BEGINNING BALANCE]]-PaymentSchedule4[[#This Row],[SCHEDULED PAYMENT]],0)),"")</f>
        <v>0</v>
      </c>
      <c r="G375" s="32">
        <f>IF(PaymentSchedule4[[#This Row],[PMT NO]]&lt;&gt;"",IF(PaymentSchedule4[[#This Row],[SCHEDULED PAYMENT]]+PaymentSchedule4[[#This Row],[EXTRA PAYMENT]]&lt;=PaymentSchedule4[[#This Row],[BEGINNING BALANCE]],PaymentSchedule4[[#This Row],[SCHEDULED PAYMENT]]+PaymentSchedule4[[#This Row],[EXTRA PAYMENT]],PaymentSchedule4[[#This Row],[BEGINNING BALANCE]]),"")</f>
        <v>757.18850783466758</v>
      </c>
      <c r="H375" s="32">
        <f>IF(PaymentSchedule4[[#This Row],[PMT NO]]&lt;&gt;"",PaymentSchedule4[[#This Row],[TOTAL PAYMENT]]-PaymentSchedule4[[#This Row],[INTEREST]],"")</f>
        <v>754.3490509302876</v>
      </c>
      <c r="I375" s="32">
        <f>IF(PaymentSchedule4[[#This Row],[PMT NO]]&lt;&gt;"",PaymentSchedule4[[#This Row],[BEGINNING BALANCE]]*(InterestRate/PaymentsPerYear),"")</f>
        <v>2.8394569043800031</v>
      </c>
      <c r="J375" s="32">
        <f>IF(PaymentSchedule4[[#This Row],[PMT NO]]&lt;&gt;"",IF(PaymentSchedule4[[#This Row],[SCHEDULED PAYMENT]]+PaymentSchedule4[[#This Row],[EXTRA PAYMENT]]&lt;=PaymentSchedule4[[#This Row],[BEGINNING BALANCE]],PaymentSchedule4[[#This Row],[BEGINNING BALANCE]]-PaymentSchedule4[[#This Row],[PRINCIPAL]],0),"")</f>
        <v>0</v>
      </c>
      <c r="K375" s="32">
        <f>IF(PaymentSchedule4[[#This Row],[PMT NO]]&lt;&gt;"",SUM(INDEX(PaymentSchedule4[INTEREST],1,1):PaymentSchedule4[[#This Row],[INTEREST]]),"")</f>
        <v>123610.06730597565</v>
      </c>
    </row>
  </sheetData>
  <mergeCells count="14">
    <mergeCell ref="C13:D13"/>
    <mergeCell ref="H13:I13"/>
    <mergeCell ref="C3:D3"/>
    <mergeCell ref="G3:H3"/>
    <mergeCell ref="C4:D4"/>
    <mergeCell ref="G4:H4"/>
    <mergeCell ref="C5:D5"/>
    <mergeCell ref="G5:H5"/>
    <mergeCell ref="J5:K5"/>
    <mergeCell ref="J9:K9"/>
    <mergeCell ref="C6:D6"/>
    <mergeCell ref="G6:H6"/>
    <mergeCell ref="C7:D7"/>
    <mergeCell ref="G7:H7"/>
  </mergeCells>
  <conditionalFormatting sqref="B16:K375">
    <cfRule type="expression" dxfId="27" priority="1">
      <formula>($B16="")+(($D16=0)*($F16=0))</formula>
    </cfRule>
  </conditionalFormatting>
  <dataValidations count="26">
    <dataValidation allowBlank="1" showInputMessage="1" showErrorMessage="1" prompt="Enter Loan Amount in this cell" sqref="E3" xr:uid="{19CD85F2-8026-47E1-828F-47900984EA50}"/>
    <dataValidation allowBlank="1" showInputMessage="1" showErrorMessage="1" prompt="Enter interest rate to be paid annually in this cell" sqref="E4" xr:uid="{8035E8D3-A788-4EE9-AACB-3843DD549971}"/>
    <dataValidation allowBlank="1" showInputMessage="1" showErrorMessage="1" prompt="Enter loan period in years in this cell" sqref="E5" xr:uid="{F81C7D16-20E0-4E78-AFD3-5F7E95A4CBF1}"/>
    <dataValidation allowBlank="1" showInputMessage="1" showErrorMessage="1" prompt="Enter the number of payments to be made in a year in this cell" sqref="E6" xr:uid="{6F69B1F4-C2CF-488B-8C52-21214C1CFDE5}"/>
    <dataValidation allowBlank="1" showInputMessage="1" showErrorMessage="1" prompt="Enter the start date of loan in this cell" sqref="E7:E11" xr:uid="{806E7E41-4A2D-428C-90E2-D70D2F291F14}"/>
    <dataValidation allowBlank="1" showInputMessage="1" showErrorMessage="1" prompt="Enter the amount of extra payment in this cell" sqref="E13" xr:uid="{34A54264-4059-49A1-977B-199FFE9E04D7}"/>
    <dataValidation allowBlank="1" showInputMessage="1" showErrorMessage="1" prompt="Automatically calculated total interest" sqref="I7:I11" xr:uid="{553C6E18-EDAC-4633-95E0-91B15D0E1915}"/>
    <dataValidation allowBlank="1" showInputMessage="1" showErrorMessage="1" prompt="Automatically updated scheduled payment amount" sqref="I3" xr:uid="{CEB2656A-4E0F-4D8C-9593-E8ECD4CBDFD9}"/>
    <dataValidation allowBlank="1" showInputMessage="1" showErrorMessage="1" prompt="Automatically updated scheduled number of payments" sqref="I4" xr:uid="{CC12B4AE-7390-406D-92E2-B0B94B941427}"/>
    <dataValidation allowBlank="1" showInputMessage="1" showErrorMessage="1" prompt="Automatically updated actual number of payments" sqref="I5" xr:uid="{6BB3754F-3C9A-4588-8944-D6D6001140A2}"/>
    <dataValidation allowBlank="1" showInputMessage="1" showErrorMessage="1" prompt="This workbook produces a loan amortization schedule that calculates total interest and total payments &amp; includes the option for extra payments" sqref="A1" xr:uid="{FFE59406-017E-49D8-AA28-0D03D1DB7584}"/>
    <dataValidation allowBlank="1" showInputMessage="1" showErrorMessage="1" prompt="Enter loan values in cells E3 to E7 and E9. Description of each loan value is in column C. Payment Schedule table starting in cell B11 will automatically update" sqref="C2" xr:uid="{45099A50-C84C-46BE-A0DB-D3313E9AFF2E}"/>
    <dataValidation allowBlank="1" showInputMessage="1" showErrorMessage="1" prompt="Loan Summary fields from I3 to I7 are automatically adjusted based on the values entered. Enter the Lender's name in I9" sqref="G2" xr:uid="{CBF446D9-89B1-42F2-8B4D-86233FE2DC66}"/>
    <dataValidation allowBlank="1" showInputMessage="1" showErrorMessage="1" prompt="Worksheet title is in this cell. Enter loan values in cells E3 to E7 &amp; extra payments in cell E9, loan summary in column I &amp; Payment Schedule table will automatically update" sqref="B1" xr:uid="{29E0C091-1F30-48CF-923B-8AB4B20CFBE6}"/>
    <dataValidation allowBlank="1" showInputMessage="1" showErrorMessage="1" prompt="Automatically updated total early payments" sqref="I6" xr:uid="{F0C92434-9C19-4B2C-9E80-C9B8B3A3678F}"/>
    <dataValidation allowBlank="1" showInputMessage="1" showErrorMessage="1" prompt="Payment number is automatically updated in this column" sqref="B15" xr:uid="{A487C299-6612-49C0-B8F7-55EAE5FE9C3C}"/>
    <dataValidation allowBlank="1" showInputMessage="1" showErrorMessage="1" prompt="Payment date is automatically updated in this column" sqref="C15" xr:uid="{581ABEE5-A324-48FB-BED8-7FE942C838A0}"/>
    <dataValidation allowBlank="1" showInputMessage="1" showErrorMessage="1" prompt="Beginning balance is automatically updated in this column" sqref="D15" xr:uid="{57302241-5DA8-4369-9660-FFCB6F2C6F3A}"/>
    <dataValidation allowBlank="1" showInputMessage="1" showErrorMessage="1" prompt="Scheduled payment is automatically updated in this column" sqref="E15" xr:uid="{4DF37667-B2C0-49F8-B215-147FAE4C5860}"/>
    <dataValidation allowBlank="1" showInputMessage="1" showErrorMessage="1" prompt="Extra payment is automatically updated in this column" sqref="F15" xr:uid="{8CFBA178-7DCC-49E3-A542-090BA9524BCB}"/>
    <dataValidation allowBlank="1" showInputMessage="1" showErrorMessage="1" prompt="Total payment is automatically updated in this column" sqref="G15" xr:uid="{51EE1C8A-6128-473E-9ED4-F567CED91734}"/>
    <dataValidation allowBlank="1" showInputMessage="1" showErrorMessage="1" prompt="Principal is automatically updated in this column" sqref="H15" xr:uid="{BAFF5D83-5AA3-4432-A9E6-0EB8DFB9C74F}"/>
    <dataValidation allowBlank="1" showInputMessage="1" showErrorMessage="1" prompt="Interest is automatically updated in this column" sqref="I15" xr:uid="{FE8F8282-BD5C-424F-888C-96F7A5E939DA}"/>
    <dataValidation allowBlank="1" showInputMessage="1" showErrorMessage="1" prompt="Ending balance is automatically updated in this column" sqref="J15" xr:uid="{DC0E40BC-F890-43A5-A7CB-33812FC436A0}"/>
    <dataValidation allowBlank="1" showInputMessage="1" showErrorMessage="1" prompt="Cumulative interest is automatically updated in this column" sqref="K15" xr:uid="{D334D65A-25F1-41F4-9654-53C7A62F2043}"/>
    <dataValidation allowBlank="1" showInputMessage="1" showErrorMessage="1" prompt="Enter the name of the lender in this cell" sqref="H13:I13" xr:uid="{3857B48A-1FAA-47D3-8ADA-B389F995AC58}"/>
  </dataValidations>
  <printOptions horizontalCentered="1"/>
  <pageMargins left="0.4" right="0.4" top="0.4" bottom="0.5" header="0.3" footer="0.3"/>
  <pageSetup scale="77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3C022-A42C-42D8-AD28-FC5549740269}">
  <sheetPr>
    <tabColor theme="4"/>
    <pageSetUpPr autoPageBreaks="0" fitToPage="1"/>
  </sheetPr>
  <dimension ref="B1:K372"/>
  <sheetViews>
    <sheetView showGridLines="0" zoomScaleNormal="100" workbookViewId="0">
      <pane ySplit="12" topLeftCell="A45" activePane="bottomLeft" state="frozen"/>
      <selection pane="bottomLeft" sqref="A1:K51"/>
    </sheetView>
  </sheetViews>
  <sheetFormatPr defaultRowHeight="12" x14ac:dyDescent="0.3"/>
  <cols>
    <col min="1" max="1" width="2.81640625" style="1" customWidth="1"/>
    <col min="2" max="2" width="7.453125" style="1" customWidth="1"/>
    <col min="3" max="3" width="16.36328125" style="1" customWidth="1"/>
    <col min="4" max="4" width="18.26953125" style="1" customWidth="1"/>
    <col min="5" max="10" width="17" style="1" customWidth="1"/>
    <col min="11" max="11" width="19.1796875" style="1" customWidth="1"/>
    <col min="12" max="16384" width="8.7265625" style="1"/>
  </cols>
  <sheetData>
    <row r="1" spans="2:11" s="42" customFormat="1" ht="30" customHeight="1" thickBot="1" x14ac:dyDescent="0.55000000000000004">
      <c r="B1" s="41" t="s">
        <v>0</v>
      </c>
      <c r="C1" s="41"/>
      <c r="D1" s="41"/>
      <c r="E1" s="41"/>
      <c r="F1" s="41" t="s">
        <v>35</v>
      </c>
      <c r="G1" s="41"/>
      <c r="H1" s="41"/>
      <c r="I1" s="41"/>
      <c r="J1" s="41"/>
      <c r="K1" s="41"/>
    </row>
    <row r="2" spans="2:11" ht="20.149999999999999" customHeight="1" thickTop="1" thickBot="1" x14ac:dyDescent="0.35">
      <c r="C2" s="2" t="s">
        <v>1</v>
      </c>
      <c r="D2" s="2"/>
      <c r="E2" s="2"/>
      <c r="G2" s="2" t="s">
        <v>2</v>
      </c>
      <c r="H2" s="2"/>
      <c r="I2" s="2"/>
    </row>
    <row r="3" spans="2:11" ht="14.25" customHeight="1" x14ac:dyDescent="0.3">
      <c r="C3" s="3" t="s">
        <v>3</v>
      </c>
      <c r="D3" s="3"/>
      <c r="E3" s="4">
        <v>35000</v>
      </c>
      <c r="G3" s="5" t="s">
        <v>4</v>
      </c>
      <c r="H3" s="5"/>
      <c r="I3" s="6">
        <f>IF(LoanIsGood,-PMT(InterestRate/PaymentsPerYear,ScheduledNumberOfPayments,LoanAmount),"")</f>
        <v>735.62432930830539</v>
      </c>
    </row>
    <row r="4" spans="2:11" x14ac:dyDescent="0.3">
      <c r="C4" s="7" t="s">
        <v>5</v>
      </c>
      <c r="D4" s="7"/>
      <c r="E4" s="8">
        <v>0.18</v>
      </c>
      <c r="G4" s="9" t="s">
        <v>6</v>
      </c>
      <c r="H4" s="9"/>
      <c r="I4" s="10">
        <f>IF(LoanIsGood,LoanPeriod*PaymentsPerYear,"")</f>
        <v>84</v>
      </c>
    </row>
    <row r="5" spans="2:11" x14ac:dyDescent="0.3">
      <c r="C5" s="7" t="s">
        <v>7</v>
      </c>
      <c r="D5" s="7"/>
      <c r="E5" s="11">
        <v>7</v>
      </c>
      <c r="G5" s="9" t="s">
        <v>8</v>
      </c>
      <c r="H5" s="9"/>
      <c r="I5" s="10">
        <f>ActualNumberOfPayments</f>
        <v>84</v>
      </c>
      <c r="J5" s="12"/>
      <c r="K5" s="12"/>
    </row>
    <row r="6" spans="2:11" x14ac:dyDescent="0.3">
      <c r="C6" s="7" t="s">
        <v>9</v>
      </c>
      <c r="D6" s="7"/>
      <c r="E6" s="13">
        <v>12</v>
      </c>
      <c r="G6" s="9" t="s">
        <v>10</v>
      </c>
      <c r="H6" s="9"/>
      <c r="I6" s="14">
        <f>TotalEarlyPayments</f>
        <v>0</v>
      </c>
    </row>
    <row r="7" spans="2:11" x14ac:dyDescent="0.3">
      <c r="C7" s="7" t="s">
        <v>11</v>
      </c>
      <c r="D7" s="7"/>
      <c r="E7" s="15">
        <v>43739</v>
      </c>
      <c r="G7" s="33" t="s">
        <v>12</v>
      </c>
      <c r="H7" s="33"/>
      <c r="I7" s="34">
        <f>TotalInterest</f>
        <v>26792.443661897676</v>
      </c>
    </row>
    <row r="8" spans="2:11" x14ac:dyDescent="0.3">
      <c r="C8" s="16"/>
      <c r="D8" s="16"/>
      <c r="E8" s="17"/>
      <c r="G8" s="21" t="s">
        <v>26</v>
      </c>
      <c r="H8" s="21"/>
      <c r="I8" s="22">
        <f>ScheduledPayment</f>
        <v>735.62432930830539</v>
      </c>
    </row>
    <row r="10" spans="2:11" x14ac:dyDescent="0.3">
      <c r="B10" s="23"/>
      <c r="C10" s="24" t="s">
        <v>13</v>
      </c>
      <c r="D10" s="24"/>
      <c r="E10" s="25">
        <v>0</v>
      </c>
      <c r="G10" s="26" t="s">
        <v>14</v>
      </c>
      <c r="H10" s="27" t="s">
        <v>33</v>
      </c>
      <c r="I10" s="27"/>
    </row>
    <row r="12" spans="2:11" ht="35.15" customHeight="1" x14ac:dyDescent="0.3">
      <c r="B12" s="28" t="s">
        <v>15</v>
      </c>
      <c r="C12" s="28" t="s">
        <v>16</v>
      </c>
      <c r="D12" s="29" t="s">
        <v>17</v>
      </c>
      <c r="E12" s="29" t="s">
        <v>18</v>
      </c>
      <c r="F12" s="29" t="s">
        <v>19</v>
      </c>
      <c r="G12" s="29" t="s">
        <v>20</v>
      </c>
      <c r="H12" s="29" t="s">
        <v>21</v>
      </c>
      <c r="I12" s="29" t="s">
        <v>22</v>
      </c>
      <c r="J12" s="29" t="s">
        <v>23</v>
      </c>
      <c r="K12" s="29" t="s">
        <v>24</v>
      </c>
    </row>
    <row r="13" spans="2:11" x14ac:dyDescent="0.3">
      <c r="B13" s="30">
        <f>IF(LoanIsGood,IF(ROW()-ROW(PaymentSchedule43[[#Headers],[PMT NO]])&gt;ScheduledNumberOfPayments,"",ROW()-ROW(PaymentSchedule43[[#Headers],[PMT NO]])),"")</f>
        <v>1</v>
      </c>
      <c r="C13" s="31">
        <f>IF(PaymentSchedule43[[#This Row],[PMT NO]]&lt;&gt;"",EOMONTH(LoanStartDate,ROW(PaymentSchedule43[[#This Row],[PMT NO]])-ROW(PaymentSchedule43[[#Headers],[PMT NO]])-2)+DAY(LoanStartDate),"")</f>
        <v>43739</v>
      </c>
      <c r="D13" s="32">
        <f>IF(PaymentSchedule43[[#This Row],[PMT NO]]&lt;&gt;"",IF(ROW()-ROW(PaymentSchedule43[[#Headers],[BEGINNING BALANCE]])=1,LoanAmount,INDEX(PaymentSchedule43[ENDING BALANCE],ROW()-ROW(PaymentSchedule43[[#Headers],[BEGINNING BALANCE]])-1)),"")</f>
        <v>35000</v>
      </c>
      <c r="E13" s="32">
        <f>IF(PaymentSchedule43[[#This Row],[PMT NO]]&lt;&gt;"",ScheduledPayment,"")</f>
        <v>735.62432930830539</v>
      </c>
      <c r="F13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13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13" s="32">
        <f>IF(PaymentSchedule43[[#This Row],[PMT NO]]&lt;&gt;"",PaymentSchedule43[[#This Row],[TOTAL PAYMENT]]-PaymentSchedule43[[#This Row],[INTEREST]],"")</f>
        <v>210.62432930830539</v>
      </c>
      <c r="I13" s="32">
        <f>IF(PaymentSchedule43[[#This Row],[PMT NO]]&lt;&gt;"",PaymentSchedule43[[#This Row],[BEGINNING BALANCE]]*(InterestRate/PaymentsPerYear),"")</f>
        <v>525</v>
      </c>
      <c r="J13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34789.375670691697</v>
      </c>
      <c r="K13" s="32">
        <f>IF(PaymentSchedule43[[#This Row],[PMT NO]]&lt;&gt;"",SUM(INDEX(PaymentSchedule43[INTEREST],1,1):PaymentSchedule43[[#This Row],[INTEREST]]),"")</f>
        <v>525</v>
      </c>
    </row>
    <row r="14" spans="2:11" x14ac:dyDescent="0.3">
      <c r="B14" s="30">
        <f>IF(LoanIsGood,IF(ROW()-ROW(PaymentSchedule43[[#Headers],[PMT NO]])&gt;ScheduledNumberOfPayments,"",ROW()-ROW(PaymentSchedule43[[#Headers],[PMT NO]])),"")</f>
        <v>2</v>
      </c>
      <c r="C14" s="31">
        <f>IF(PaymentSchedule43[[#This Row],[PMT NO]]&lt;&gt;"",EOMONTH(LoanStartDate,ROW(PaymentSchedule43[[#This Row],[PMT NO]])-ROW(PaymentSchedule43[[#Headers],[PMT NO]])-2)+DAY(LoanStartDate),"")</f>
        <v>43770</v>
      </c>
      <c r="D14" s="32">
        <f>IF(PaymentSchedule43[[#This Row],[PMT NO]]&lt;&gt;"",IF(ROW()-ROW(PaymentSchedule43[[#Headers],[BEGINNING BALANCE]])=1,LoanAmount,INDEX(PaymentSchedule43[ENDING BALANCE],ROW()-ROW(PaymentSchedule43[[#Headers],[BEGINNING BALANCE]])-1)),"")</f>
        <v>34789.375670691697</v>
      </c>
      <c r="E14" s="32">
        <f>IF(PaymentSchedule43[[#This Row],[PMT NO]]&lt;&gt;"",ScheduledPayment,"")</f>
        <v>735.62432930830539</v>
      </c>
      <c r="F14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14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14" s="32">
        <f>IF(PaymentSchedule43[[#This Row],[PMT NO]]&lt;&gt;"",PaymentSchedule43[[#This Row],[TOTAL PAYMENT]]-PaymentSchedule43[[#This Row],[INTEREST]],"")</f>
        <v>213.78369424792993</v>
      </c>
      <c r="I14" s="32">
        <f>IF(PaymentSchedule43[[#This Row],[PMT NO]]&lt;&gt;"",PaymentSchedule43[[#This Row],[BEGINNING BALANCE]]*(InterestRate/PaymentsPerYear),"")</f>
        <v>521.84063506037546</v>
      </c>
      <c r="J14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34575.591976443764</v>
      </c>
      <c r="K14" s="32">
        <f>IF(PaymentSchedule43[[#This Row],[PMT NO]]&lt;&gt;"",SUM(INDEX(PaymentSchedule43[INTEREST],1,1):PaymentSchedule43[[#This Row],[INTEREST]]),"")</f>
        <v>1046.8406350603755</v>
      </c>
    </row>
    <row r="15" spans="2:11" x14ac:dyDescent="0.3">
      <c r="B15" s="30">
        <f>IF(LoanIsGood,IF(ROW()-ROW(PaymentSchedule43[[#Headers],[PMT NO]])&gt;ScheduledNumberOfPayments,"",ROW()-ROW(PaymentSchedule43[[#Headers],[PMT NO]])),"")</f>
        <v>3</v>
      </c>
      <c r="C15" s="31">
        <f>IF(PaymentSchedule43[[#This Row],[PMT NO]]&lt;&gt;"",EOMONTH(LoanStartDate,ROW(PaymentSchedule43[[#This Row],[PMT NO]])-ROW(PaymentSchedule43[[#Headers],[PMT NO]])-2)+DAY(LoanStartDate),"")</f>
        <v>43800</v>
      </c>
      <c r="D15" s="32">
        <f>IF(PaymentSchedule43[[#This Row],[PMT NO]]&lt;&gt;"",IF(ROW()-ROW(PaymentSchedule43[[#Headers],[BEGINNING BALANCE]])=1,LoanAmount,INDEX(PaymentSchedule43[ENDING BALANCE],ROW()-ROW(PaymentSchedule43[[#Headers],[BEGINNING BALANCE]])-1)),"")</f>
        <v>34575.591976443764</v>
      </c>
      <c r="E15" s="32">
        <f>IF(PaymentSchedule43[[#This Row],[PMT NO]]&lt;&gt;"",ScheduledPayment,"")</f>
        <v>735.62432930830539</v>
      </c>
      <c r="F15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15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15" s="32">
        <f>IF(PaymentSchedule43[[#This Row],[PMT NO]]&lt;&gt;"",PaymentSchedule43[[#This Row],[TOTAL PAYMENT]]-PaymentSchedule43[[#This Row],[INTEREST]],"")</f>
        <v>216.990449661649</v>
      </c>
      <c r="I15" s="32">
        <f>IF(PaymentSchedule43[[#This Row],[PMT NO]]&lt;&gt;"",PaymentSchedule43[[#This Row],[BEGINNING BALANCE]]*(InterestRate/PaymentsPerYear),"")</f>
        <v>518.6338796466564</v>
      </c>
      <c r="J15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34358.601526782113</v>
      </c>
      <c r="K15" s="32">
        <f>IF(PaymentSchedule43[[#This Row],[PMT NO]]&lt;&gt;"",SUM(INDEX(PaymentSchedule43[INTEREST],1,1):PaymentSchedule43[[#This Row],[INTEREST]]),"")</f>
        <v>1565.4745147070319</v>
      </c>
    </row>
    <row r="16" spans="2:11" x14ac:dyDescent="0.3">
      <c r="B16" s="30">
        <f>IF(LoanIsGood,IF(ROW()-ROW(PaymentSchedule43[[#Headers],[PMT NO]])&gt;ScheduledNumberOfPayments,"",ROW()-ROW(PaymentSchedule43[[#Headers],[PMT NO]])),"")</f>
        <v>4</v>
      </c>
      <c r="C16" s="31">
        <f>IF(PaymentSchedule43[[#This Row],[PMT NO]]&lt;&gt;"",EOMONTH(LoanStartDate,ROW(PaymentSchedule43[[#This Row],[PMT NO]])-ROW(PaymentSchedule43[[#Headers],[PMT NO]])-2)+DAY(LoanStartDate),"")</f>
        <v>43831</v>
      </c>
      <c r="D16" s="32">
        <f>IF(PaymentSchedule43[[#This Row],[PMT NO]]&lt;&gt;"",IF(ROW()-ROW(PaymentSchedule43[[#Headers],[BEGINNING BALANCE]])=1,LoanAmount,INDEX(PaymentSchedule43[ENDING BALANCE],ROW()-ROW(PaymentSchedule43[[#Headers],[BEGINNING BALANCE]])-1)),"")</f>
        <v>34358.601526782113</v>
      </c>
      <c r="E16" s="32">
        <f>IF(PaymentSchedule43[[#This Row],[PMT NO]]&lt;&gt;"",ScheduledPayment,"")</f>
        <v>735.62432930830539</v>
      </c>
      <c r="F16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16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16" s="32">
        <f>IF(PaymentSchedule43[[#This Row],[PMT NO]]&lt;&gt;"",PaymentSchedule43[[#This Row],[TOTAL PAYMENT]]-PaymentSchedule43[[#This Row],[INTEREST]],"")</f>
        <v>220.24530640657372</v>
      </c>
      <c r="I16" s="32">
        <f>IF(PaymentSchedule43[[#This Row],[PMT NO]]&lt;&gt;"",PaymentSchedule43[[#This Row],[BEGINNING BALANCE]]*(InterestRate/PaymentsPerYear),"")</f>
        <v>515.37902290173167</v>
      </c>
      <c r="J16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34138.356220375543</v>
      </c>
      <c r="K16" s="32">
        <f>IF(PaymentSchedule43[[#This Row],[PMT NO]]&lt;&gt;"",SUM(INDEX(PaymentSchedule43[INTEREST],1,1):PaymentSchedule43[[#This Row],[INTEREST]]),"")</f>
        <v>2080.8535376087634</v>
      </c>
    </row>
    <row r="17" spans="2:11" x14ac:dyDescent="0.3">
      <c r="B17" s="30">
        <f>IF(LoanIsGood,IF(ROW()-ROW(PaymentSchedule43[[#Headers],[PMT NO]])&gt;ScheduledNumberOfPayments,"",ROW()-ROW(PaymentSchedule43[[#Headers],[PMT NO]])),"")</f>
        <v>5</v>
      </c>
      <c r="C17" s="31">
        <f>IF(PaymentSchedule43[[#This Row],[PMT NO]]&lt;&gt;"",EOMONTH(LoanStartDate,ROW(PaymentSchedule43[[#This Row],[PMT NO]])-ROW(PaymentSchedule43[[#Headers],[PMT NO]])-2)+DAY(LoanStartDate),"")</f>
        <v>43862</v>
      </c>
      <c r="D17" s="32">
        <f>IF(PaymentSchedule43[[#This Row],[PMT NO]]&lt;&gt;"",IF(ROW()-ROW(PaymentSchedule43[[#Headers],[BEGINNING BALANCE]])=1,LoanAmount,INDEX(PaymentSchedule43[ENDING BALANCE],ROW()-ROW(PaymentSchedule43[[#Headers],[BEGINNING BALANCE]])-1)),"")</f>
        <v>34138.356220375543</v>
      </c>
      <c r="E17" s="32">
        <f>IF(PaymentSchedule43[[#This Row],[PMT NO]]&lt;&gt;"",ScheduledPayment,"")</f>
        <v>735.62432930830539</v>
      </c>
      <c r="F17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17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17" s="32">
        <f>IF(PaymentSchedule43[[#This Row],[PMT NO]]&lt;&gt;"",PaymentSchedule43[[#This Row],[TOTAL PAYMENT]]-PaymentSchedule43[[#This Row],[INTEREST]],"")</f>
        <v>223.54898600267222</v>
      </c>
      <c r="I17" s="32">
        <f>IF(PaymentSchedule43[[#This Row],[PMT NO]]&lt;&gt;"",PaymentSchedule43[[#This Row],[BEGINNING BALANCE]]*(InterestRate/PaymentsPerYear),"")</f>
        <v>512.07534330563317</v>
      </c>
      <c r="J17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33914.807234372871</v>
      </c>
      <c r="K17" s="32">
        <f>IF(PaymentSchedule43[[#This Row],[PMT NO]]&lt;&gt;"",SUM(INDEX(PaymentSchedule43[INTEREST],1,1):PaymentSchedule43[[#This Row],[INTEREST]]),"")</f>
        <v>2592.9288809143964</v>
      </c>
    </row>
    <row r="18" spans="2:11" x14ac:dyDescent="0.3">
      <c r="B18" s="30">
        <f>IF(LoanIsGood,IF(ROW()-ROW(PaymentSchedule43[[#Headers],[PMT NO]])&gt;ScheduledNumberOfPayments,"",ROW()-ROW(PaymentSchedule43[[#Headers],[PMT NO]])),"")</f>
        <v>6</v>
      </c>
      <c r="C18" s="31">
        <f>IF(PaymentSchedule43[[#This Row],[PMT NO]]&lt;&gt;"",EOMONTH(LoanStartDate,ROW(PaymentSchedule43[[#This Row],[PMT NO]])-ROW(PaymentSchedule43[[#Headers],[PMT NO]])-2)+DAY(LoanStartDate),"")</f>
        <v>43891</v>
      </c>
      <c r="D18" s="32">
        <f>IF(PaymentSchedule43[[#This Row],[PMT NO]]&lt;&gt;"",IF(ROW()-ROW(PaymentSchedule43[[#Headers],[BEGINNING BALANCE]])=1,LoanAmount,INDEX(PaymentSchedule43[ENDING BALANCE],ROW()-ROW(PaymentSchedule43[[#Headers],[BEGINNING BALANCE]])-1)),"")</f>
        <v>33914.807234372871</v>
      </c>
      <c r="E18" s="32">
        <f>IF(PaymentSchedule43[[#This Row],[PMT NO]]&lt;&gt;"",ScheduledPayment,"")</f>
        <v>735.62432930830539</v>
      </c>
      <c r="F18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18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18" s="32">
        <f>IF(PaymentSchedule43[[#This Row],[PMT NO]]&lt;&gt;"",PaymentSchedule43[[#This Row],[TOTAL PAYMENT]]-PaymentSchedule43[[#This Row],[INTEREST]],"")</f>
        <v>226.90222079271234</v>
      </c>
      <c r="I18" s="32">
        <f>IF(PaymentSchedule43[[#This Row],[PMT NO]]&lt;&gt;"",PaymentSchedule43[[#This Row],[BEGINNING BALANCE]]*(InterestRate/PaymentsPerYear),"")</f>
        <v>508.72210851559305</v>
      </c>
      <c r="J18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33687.905013580159</v>
      </c>
      <c r="K18" s="32">
        <f>IF(PaymentSchedule43[[#This Row],[PMT NO]]&lt;&gt;"",SUM(INDEX(PaymentSchedule43[INTEREST],1,1):PaymentSchedule43[[#This Row],[INTEREST]]),"")</f>
        <v>3101.6509894299893</v>
      </c>
    </row>
    <row r="19" spans="2:11" x14ac:dyDescent="0.3">
      <c r="B19" s="30">
        <f>IF(LoanIsGood,IF(ROW()-ROW(PaymentSchedule43[[#Headers],[PMT NO]])&gt;ScheduledNumberOfPayments,"",ROW()-ROW(PaymentSchedule43[[#Headers],[PMT NO]])),"")</f>
        <v>7</v>
      </c>
      <c r="C19" s="31">
        <f>IF(PaymentSchedule43[[#This Row],[PMT NO]]&lt;&gt;"",EOMONTH(LoanStartDate,ROW(PaymentSchedule43[[#This Row],[PMT NO]])-ROW(PaymentSchedule43[[#Headers],[PMT NO]])-2)+DAY(LoanStartDate),"")</f>
        <v>43922</v>
      </c>
      <c r="D19" s="32">
        <f>IF(PaymentSchedule43[[#This Row],[PMT NO]]&lt;&gt;"",IF(ROW()-ROW(PaymentSchedule43[[#Headers],[BEGINNING BALANCE]])=1,LoanAmount,INDEX(PaymentSchedule43[ENDING BALANCE],ROW()-ROW(PaymentSchedule43[[#Headers],[BEGINNING BALANCE]])-1)),"")</f>
        <v>33687.905013580159</v>
      </c>
      <c r="E19" s="32">
        <f>IF(PaymentSchedule43[[#This Row],[PMT NO]]&lt;&gt;"",ScheduledPayment,"")</f>
        <v>735.62432930830539</v>
      </c>
      <c r="F19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19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19" s="32">
        <f>IF(PaymentSchedule43[[#This Row],[PMT NO]]&lt;&gt;"",PaymentSchedule43[[#This Row],[TOTAL PAYMENT]]-PaymentSchedule43[[#This Row],[INTEREST]],"")</f>
        <v>230.30575410460301</v>
      </c>
      <c r="I19" s="32">
        <f>IF(PaymentSchedule43[[#This Row],[PMT NO]]&lt;&gt;"",PaymentSchedule43[[#This Row],[BEGINNING BALANCE]]*(InterestRate/PaymentsPerYear),"")</f>
        <v>505.31857520370238</v>
      </c>
      <c r="J19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33457.599259475559</v>
      </c>
      <c r="K19" s="32">
        <f>IF(PaymentSchedule43[[#This Row],[PMT NO]]&lt;&gt;"",SUM(INDEX(PaymentSchedule43[INTEREST],1,1):PaymentSchedule43[[#This Row],[INTEREST]]),"")</f>
        <v>3606.9695646336918</v>
      </c>
    </row>
    <row r="20" spans="2:11" x14ac:dyDescent="0.3">
      <c r="B20" s="30">
        <f>IF(LoanIsGood,IF(ROW()-ROW(PaymentSchedule43[[#Headers],[PMT NO]])&gt;ScheduledNumberOfPayments,"",ROW()-ROW(PaymentSchedule43[[#Headers],[PMT NO]])),"")</f>
        <v>8</v>
      </c>
      <c r="C20" s="31">
        <f>IF(PaymentSchedule43[[#This Row],[PMT NO]]&lt;&gt;"",EOMONTH(LoanStartDate,ROW(PaymentSchedule43[[#This Row],[PMT NO]])-ROW(PaymentSchedule43[[#Headers],[PMT NO]])-2)+DAY(LoanStartDate),"")</f>
        <v>43952</v>
      </c>
      <c r="D20" s="32">
        <f>IF(PaymentSchedule43[[#This Row],[PMT NO]]&lt;&gt;"",IF(ROW()-ROW(PaymentSchedule43[[#Headers],[BEGINNING BALANCE]])=1,LoanAmount,INDEX(PaymentSchedule43[ENDING BALANCE],ROW()-ROW(PaymentSchedule43[[#Headers],[BEGINNING BALANCE]])-1)),"")</f>
        <v>33457.599259475559</v>
      </c>
      <c r="E20" s="32">
        <f>IF(PaymentSchedule43[[#This Row],[PMT NO]]&lt;&gt;"",ScheduledPayment,"")</f>
        <v>735.62432930830539</v>
      </c>
      <c r="F20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20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20" s="32">
        <f>IF(PaymentSchedule43[[#This Row],[PMT NO]]&lt;&gt;"",PaymentSchedule43[[#This Row],[TOTAL PAYMENT]]-PaymentSchedule43[[#This Row],[INTEREST]],"")</f>
        <v>233.76034041617203</v>
      </c>
      <c r="I20" s="32">
        <f>IF(PaymentSchedule43[[#This Row],[PMT NO]]&lt;&gt;"",PaymentSchedule43[[#This Row],[BEGINNING BALANCE]]*(InterestRate/PaymentsPerYear),"")</f>
        <v>501.86398889213336</v>
      </c>
      <c r="J20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33223.838919059388</v>
      </c>
      <c r="K20" s="32">
        <f>IF(PaymentSchedule43[[#This Row],[PMT NO]]&lt;&gt;"",SUM(INDEX(PaymentSchedule43[INTEREST],1,1):PaymentSchedule43[[#This Row],[INTEREST]]),"")</f>
        <v>4108.8335535258248</v>
      </c>
    </row>
    <row r="21" spans="2:11" x14ac:dyDescent="0.3">
      <c r="B21" s="30">
        <f>IF(LoanIsGood,IF(ROW()-ROW(PaymentSchedule43[[#Headers],[PMT NO]])&gt;ScheduledNumberOfPayments,"",ROW()-ROW(PaymentSchedule43[[#Headers],[PMT NO]])),"")</f>
        <v>9</v>
      </c>
      <c r="C21" s="31">
        <f>IF(PaymentSchedule43[[#This Row],[PMT NO]]&lt;&gt;"",EOMONTH(LoanStartDate,ROW(PaymentSchedule43[[#This Row],[PMT NO]])-ROW(PaymentSchedule43[[#Headers],[PMT NO]])-2)+DAY(LoanStartDate),"")</f>
        <v>43983</v>
      </c>
      <c r="D21" s="32">
        <f>IF(PaymentSchedule43[[#This Row],[PMT NO]]&lt;&gt;"",IF(ROW()-ROW(PaymentSchedule43[[#Headers],[BEGINNING BALANCE]])=1,LoanAmount,INDEX(PaymentSchedule43[ENDING BALANCE],ROW()-ROW(PaymentSchedule43[[#Headers],[BEGINNING BALANCE]])-1)),"")</f>
        <v>33223.838919059388</v>
      </c>
      <c r="E21" s="32">
        <f>IF(PaymentSchedule43[[#This Row],[PMT NO]]&lt;&gt;"",ScheduledPayment,"")</f>
        <v>735.62432930830539</v>
      </c>
      <c r="F21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21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21" s="32">
        <f>IF(PaymentSchedule43[[#This Row],[PMT NO]]&lt;&gt;"",PaymentSchedule43[[#This Row],[TOTAL PAYMENT]]-PaymentSchedule43[[#This Row],[INTEREST]],"")</f>
        <v>237.26674552241457</v>
      </c>
      <c r="I21" s="32">
        <f>IF(PaymentSchedule43[[#This Row],[PMT NO]]&lt;&gt;"",PaymentSchedule43[[#This Row],[BEGINNING BALANCE]]*(InterestRate/PaymentsPerYear),"")</f>
        <v>498.35758378589082</v>
      </c>
      <c r="J21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32986.572173536973</v>
      </c>
      <c r="K21" s="32">
        <f>IF(PaymentSchedule43[[#This Row],[PMT NO]]&lt;&gt;"",SUM(INDEX(PaymentSchedule43[INTEREST],1,1):PaymentSchedule43[[#This Row],[INTEREST]]),"")</f>
        <v>4607.1911373117155</v>
      </c>
    </row>
    <row r="22" spans="2:11" x14ac:dyDescent="0.3">
      <c r="B22" s="30">
        <f>IF(LoanIsGood,IF(ROW()-ROW(PaymentSchedule43[[#Headers],[PMT NO]])&gt;ScheduledNumberOfPayments,"",ROW()-ROW(PaymentSchedule43[[#Headers],[PMT NO]])),"")</f>
        <v>10</v>
      </c>
      <c r="C22" s="31">
        <f>IF(PaymentSchedule43[[#This Row],[PMT NO]]&lt;&gt;"",EOMONTH(LoanStartDate,ROW(PaymentSchedule43[[#This Row],[PMT NO]])-ROW(PaymentSchedule43[[#Headers],[PMT NO]])-2)+DAY(LoanStartDate),"")</f>
        <v>44013</v>
      </c>
      <c r="D22" s="32">
        <f>IF(PaymentSchedule43[[#This Row],[PMT NO]]&lt;&gt;"",IF(ROW()-ROW(PaymentSchedule43[[#Headers],[BEGINNING BALANCE]])=1,LoanAmount,INDEX(PaymentSchedule43[ENDING BALANCE],ROW()-ROW(PaymentSchedule43[[#Headers],[BEGINNING BALANCE]])-1)),"")</f>
        <v>32986.572173536973</v>
      </c>
      <c r="E22" s="32">
        <f>IF(PaymentSchedule43[[#This Row],[PMT NO]]&lt;&gt;"",ScheduledPayment,"")</f>
        <v>735.62432930830539</v>
      </c>
      <c r="F22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22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22" s="32">
        <f>IF(PaymentSchedule43[[#This Row],[PMT NO]]&lt;&gt;"",PaymentSchedule43[[#This Row],[TOTAL PAYMENT]]-PaymentSchedule43[[#This Row],[INTEREST]],"")</f>
        <v>240.82574670525082</v>
      </c>
      <c r="I22" s="32">
        <f>IF(PaymentSchedule43[[#This Row],[PMT NO]]&lt;&gt;"",PaymentSchedule43[[#This Row],[BEGINNING BALANCE]]*(InterestRate/PaymentsPerYear),"")</f>
        <v>494.79858260305457</v>
      </c>
      <c r="J22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32745.746426831724</v>
      </c>
      <c r="K22" s="32">
        <f>IF(PaymentSchedule43[[#This Row],[PMT NO]]&lt;&gt;"",SUM(INDEX(PaymentSchedule43[INTEREST],1,1):PaymentSchedule43[[#This Row],[INTEREST]]),"")</f>
        <v>5101.9897199147699</v>
      </c>
    </row>
    <row r="23" spans="2:11" x14ac:dyDescent="0.3">
      <c r="B23" s="30">
        <f>IF(LoanIsGood,IF(ROW()-ROW(PaymentSchedule43[[#Headers],[PMT NO]])&gt;ScheduledNumberOfPayments,"",ROW()-ROW(PaymentSchedule43[[#Headers],[PMT NO]])),"")</f>
        <v>11</v>
      </c>
      <c r="C23" s="31">
        <f>IF(PaymentSchedule43[[#This Row],[PMT NO]]&lt;&gt;"",EOMONTH(LoanStartDate,ROW(PaymentSchedule43[[#This Row],[PMT NO]])-ROW(PaymentSchedule43[[#Headers],[PMT NO]])-2)+DAY(LoanStartDate),"")</f>
        <v>44044</v>
      </c>
      <c r="D23" s="32">
        <f>IF(PaymentSchedule43[[#This Row],[PMT NO]]&lt;&gt;"",IF(ROW()-ROW(PaymentSchedule43[[#Headers],[BEGINNING BALANCE]])=1,LoanAmount,INDEX(PaymentSchedule43[ENDING BALANCE],ROW()-ROW(PaymentSchedule43[[#Headers],[BEGINNING BALANCE]])-1)),"")</f>
        <v>32745.746426831724</v>
      </c>
      <c r="E23" s="32">
        <f>IF(PaymentSchedule43[[#This Row],[PMT NO]]&lt;&gt;"",ScheduledPayment,"")</f>
        <v>735.62432930830539</v>
      </c>
      <c r="F23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23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23" s="32">
        <f>IF(PaymentSchedule43[[#This Row],[PMT NO]]&lt;&gt;"",PaymentSchedule43[[#This Row],[TOTAL PAYMENT]]-PaymentSchedule43[[#This Row],[INTEREST]],"")</f>
        <v>244.43813290582955</v>
      </c>
      <c r="I23" s="32">
        <f>IF(PaymentSchedule43[[#This Row],[PMT NO]]&lt;&gt;"",PaymentSchedule43[[#This Row],[BEGINNING BALANCE]]*(InterestRate/PaymentsPerYear),"")</f>
        <v>491.18619640247584</v>
      </c>
      <c r="J23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32501.308293925893</v>
      </c>
      <c r="K23" s="32">
        <f>IF(PaymentSchedule43[[#This Row],[PMT NO]]&lt;&gt;"",SUM(INDEX(PaymentSchedule43[INTEREST],1,1):PaymentSchedule43[[#This Row],[INTEREST]]),"")</f>
        <v>5593.1759163172455</v>
      </c>
    </row>
    <row r="24" spans="2:11" x14ac:dyDescent="0.3">
      <c r="B24" s="30">
        <f>IF(LoanIsGood,IF(ROW()-ROW(PaymentSchedule43[[#Headers],[PMT NO]])&gt;ScheduledNumberOfPayments,"",ROW()-ROW(PaymentSchedule43[[#Headers],[PMT NO]])),"")</f>
        <v>12</v>
      </c>
      <c r="C24" s="31">
        <f>IF(PaymentSchedule43[[#This Row],[PMT NO]]&lt;&gt;"",EOMONTH(LoanStartDate,ROW(PaymentSchedule43[[#This Row],[PMT NO]])-ROW(PaymentSchedule43[[#Headers],[PMT NO]])-2)+DAY(LoanStartDate),"")</f>
        <v>44075</v>
      </c>
      <c r="D24" s="32">
        <f>IF(PaymentSchedule43[[#This Row],[PMT NO]]&lt;&gt;"",IF(ROW()-ROW(PaymentSchedule43[[#Headers],[BEGINNING BALANCE]])=1,LoanAmount,INDEX(PaymentSchedule43[ENDING BALANCE],ROW()-ROW(PaymentSchedule43[[#Headers],[BEGINNING BALANCE]])-1)),"")</f>
        <v>32501.308293925893</v>
      </c>
      <c r="E24" s="32">
        <f>IF(PaymentSchedule43[[#This Row],[PMT NO]]&lt;&gt;"",ScheduledPayment,"")</f>
        <v>735.62432930830539</v>
      </c>
      <c r="F24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24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24" s="32">
        <f>IF(PaymentSchedule43[[#This Row],[PMT NO]]&lt;&gt;"",PaymentSchedule43[[#This Row],[TOTAL PAYMENT]]-PaymentSchedule43[[#This Row],[INTEREST]],"")</f>
        <v>248.10470489941702</v>
      </c>
      <c r="I24" s="32">
        <f>IF(PaymentSchedule43[[#This Row],[PMT NO]]&lt;&gt;"",PaymentSchedule43[[#This Row],[BEGINNING BALANCE]]*(InterestRate/PaymentsPerYear),"")</f>
        <v>487.51962440888838</v>
      </c>
      <c r="J24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32253.203589026474</v>
      </c>
      <c r="K24" s="32">
        <f>IF(PaymentSchedule43[[#This Row],[PMT NO]]&lt;&gt;"",SUM(INDEX(PaymentSchedule43[INTEREST],1,1):PaymentSchedule43[[#This Row],[INTEREST]]),"")</f>
        <v>6080.6955407261339</v>
      </c>
    </row>
    <row r="25" spans="2:11" x14ac:dyDescent="0.3">
      <c r="B25" s="30">
        <f>IF(LoanIsGood,IF(ROW()-ROW(PaymentSchedule43[[#Headers],[PMT NO]])&gt;ScheduledNumberOfPayments,"",ROW()-ROW(PaymentSchedule43[[#Headers],[PMT NO]])),"")</f>
        <v>13</v>
      </c>
      <c r="C25" s="31">
        <f>IF(PaymentSchedule43[[#This Row],[PMT NO]]&lt;&gt;"",EOMONTH(LoanStartDate,ROW(PaymentSchedule43[[#This Row],[PMT NO]])-ROW(PaymentSchedule43[[#Headers],[PMT NO]])-2)+DAY(LoanStartDate),"")</f>
        <v>44105</v>
      </c>
      <c r="D25" s="32">
        <f>IF(PaymentSchedule43[[#This Row],[PMT NO]]&lt;&gt;"",IF(ROW()-ROW(PaymentSchedule43[[#Headers],[BEGINNING BALANCE]])=1,LoanAmount,INDEX(PaymentSchedule43[ENDING BALANCE],ROW()-ROW(PaymentSchedule43[[#Headers],[BEGINNING BALANCE]])-1)),"")</f>
        <v>32253.203589026474</v>
      </c>
      <c r="E25" s="32">
        <f>IF(PaymentSchedule43[[#This Row],[PMT NO]]&lt;&gt;"",ScheduledPayment,"")</f>
        <v>735.62432930830539</v>
      </c>
      <c r="F25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25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25" s="32">
        <f>IF(PaymentSchedule43[[#This Row],[PMT NO]]&lt;&gt;"",PaymentSchedule43[[#This Row],[TOTAL PAYMENT]]-PaymentSchedule43[[#This Row],[INTEREST]],"")</f>
        <v>251.82627547290832</v>
      </c>
      <c r="I25" s="32">
        <f>IF(PaymentSchedule43[[#This Row],[PMT NO]]&lt;&gt;"",PaymentSchedule43[[#This Row],[BEGINNING BALANCE]]*(InterestRate/PaymentsPerYear),"")</f>
        <v>483.79805383539707</v>
      </c>
      <c r="J25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32001.377313553567</v>
      </c>
      <c r="K25" s="32">
        <f>IF(PaymentSchedule43[[#This Row],[PMT NO]]&lt;&gt;"",SUM(INDEX(PaymentSchedule43[INTEREST],1,1):PaymentSchedule43[[#This Row],[INTEREST]]),"")</f>
        <v>6564.4935945615307</v>
      </c>
    </row>
    <row r="26" spans="2:11" x14ac:dyDescent="0.3">
      <c r="B26" s="30">
        <f>IF(LoanIsGood,IF(ROW()-ROW(PaymentSchedule43[[#Headers],[PMT NO]])&gt;ScheduledNumberOfPayments,"",ROW()-ROW(PaymentSchedule43[[#Headers],[PMT NO]])),"")</f>
        <v>14</v>
      </c>
      <c r="C26" s="31">
        <f>IF(PaymentSchedule43[[#This Row],[PMT NO]]&lt;&gt;"",EOMONTH(LoanStartDate,ROW(PaymentSchedule43[[#This Row],[PMT NO]])-ROW(PaymentSchedule43[[#Headers],[PMT NO]])-2)+DAY(LoanStartDate),"")</f>
        <v>44136</v>
      </c>
      <c r="D26" s="32">
        <f>IF(PaymentSchedule43[[#This Row],[PMT NO]]&lt;&gt;"",IF(ROW()-ROW(PaymentSchedule43[[#Headers],[BEGINNING BALANCE]])=1,LoanAmount,INDEX(PaymentSchedule43[ENDING BALANCE],ROW()-ROW(PaymentSchedule43[[#Headers],[BEGINNING BALANCE]])-1)),"")</f>
        <v>32001.377313553567</v>
      </c>
      <c r="E26" s="32">
        <f>IF(PaymentSchedule43[[#This Row],[PMT NO]]&lt;&gt;"",ScheduledPayment,"")</f>
        <v>735.62432930830539</v>
      </c>
      <c r="F26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26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26" s="32">
        <f>IF(PaymentSchedule43[[#This Row],[PMT NO]]&lt;&gt;"",PaymentSchedule43[[#This Row],[TOTAL PAYMENT]]-PaymentSchedule43[[#This Row],[INTEREST]],"")</f>
        <v>255.60366960500193</v>
      </c>
      <c r="I26" s="32">
        <f>IF(PaymentSchedule43[[#This Row],[PMT NO]]&lt;&gt;"",PaymentSchedule43[[#This Row],[BEGINNING BALANCE]]*(InterestRate/PaymentsPerYear),"")</f>
        <v>480.02065970330347</v>
      </c>
      <c r="J26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31745.773643948563</v>
      </c>
      <c r="K26" s="32">
        <f>IF(PaymentSchedule43[[#This Row],[PMT NO]]&lt;&gt;"",SUM(INDEX(PaymentSchedule43[INTEREST],1,1):PaymentSchedule43[[#This Row],[INTEREST]]),"")</f>
        <v>7044.5142542648346</v>
      </c>
    </row>
    <row r="27" spans="2:11" x14ac:dyDescent="0.3">
      <c r="B27" s="30">
        <f>IF(LoanIsGood,IF(ROW()-ROW(PaymentSchedule43[[#Headers],[PMT NO]])&gt;ScheduledNumberOfPayments,"",ROW()-ROW(PaymentSchedule43[[#Headers],[PMT NO]])),"")</f>
        <v>15</v>
      </c>
      <c r="C27" s="31">
        <f>IF(PaymentSchedule43[[#This Row],[PMT NO]]&lt;&gt;"",EOMONTH(LoanStartDate,ROW(PaymentSchedule43[[#This Row],[PMT NO]])-ROW(PaymentSchedule43[[#Headers],[PMT NO]])-2)+DAY(LoanStartDate),"")</f>
        <v>44166</v>
      </c>
      <c r="D27" s="32">
        <f>IF(PaymentSchedule43[[#This Row],[PMT NO]]&lt;&gt;"",IF(ROW()-ROW(PaymentSchedule43[[#Headers],[BEGINNING BALANCE]])=1,LoanAmount,INDEX(PaymentSchedule43[ENDING BALANCE],ROW()-ROW(PaymentSchedule43[[#Headers],[BEGINNING BALANCE]])-1)),"")</f>
        <v>31745.773643948563</v>
      </c>
      <c r="E27" s="32">
        <f>IF(PaymentSchedule43[[#This Row],[PMT NO]]&lt;&gt;"",ScheduledPayment,"")</f>
        <v>735.62432930830539</v>
      </c>
      <c r="F27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27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27" s="32">
        <f>IF(PaymentSchedule43[[#This Row],[PMT NO]]&lt;&gt;"",PaymentSchedule43[[#This Row],[TOTAL PAYMENT]]-PaymentSchedule43[[#This Row],[INTEREST]],"")</f>
        <v>259.43772464907698</v>
      </c>
      <c r="I27" s="32">
        <f>IF(PaymentSchedule43[[#This Row],[PMT NO]]&lt;&gt;"",PaymentSchedule43[[#This Row],[BEGINNING BALANCE]]*(InterestRate/PaymentsPerYear),"")</f>
        <v>476.18660465922841</v>
      </c>
      <c r="J27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31486.335919299487</v>
      </c>
      <c r="K27" s="32">
        <f>IF(PaymentSchedule43[[#This Row],[PMT NO]]&lt;&gt;"",SUM(INDEX(PaymentSchedule43[INTEREST],1,1):PaymentSchedule43[[#This Row],[INTEREST]]),"")</f>
        <v>7520.7008589240631</v>
      </c>
    </row>
    <row r="28" spans="2:11" x14ac:dyDescent="0.3">
      <c r="B28" s="30">
        <f>IF(LoanIsGood,IF(ROW()-ROW(PaymentSchedule43[[#Headers],[PMT NO]])&gt;ScheduledNumberOfPayments,"",ROW()-ROW(PaymentSchedule43[[#Headers],[PMT NO]])),"")</f>
        <v>16</v>
      </c>
      <c r="C28" s="31">
        <f>IF(PaymentSchedule43[[#This Row],[PMT NO]]&lt;&gt;"",EOMONTH(LoanStartDate,ROW(PaymentSchedule43[[#This Row],[PMT NO]])-ROW(PaymentSchedule43[[#Headers],[PMT NO]])-2)+DAY(LoanStartDate),"")</f>
        <v>44197</v>
      </c>
      <c r="D28" s="32">
        <f>IF(PaymentSchedule43[[#This Row],[PMT NO]]&lt;&gt;"",IF(ROW()-ROW(PaymentSchedule43[[#Headers],[BEGINNING BALANCE]])=1,LoanAmount,INDEX(PaymentSchedule43[ENDING BALANCE],ROW()-ROW(PaymentSchedule43[[#Headers],[BEGINNING BALANCE]])-1)),"")</f>
        <v>31486.335919299487</v>
      </c>
      <c r="E28" s="32">
        <f>IF(PaymentSchedule43[[#This Row],[PMT NO]]&lt;&gt;"",ScheduledPayment,"")</f>
        <v>735.62432930830539</v>
      </c>
      <c r="F28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28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28" s="32">
        <f>IF(PaymentSchedule43[[#This Row],[PMT NO]]&lt;&gt;"",PaymentSchedule43[[#This Row],[TOTAL PAYMENT]]-PaymentSchedule43[[#This Row],[INTEREST]],"")</f>
        <v>263.32929051881308</v>
      </c>
      <c r="I28" s="32">
        <f>IF(PaymentSchedule43[[#This Row],[PMT NO]]&lt;&gt;"",PaymentSchedule43[[#This Row],[BEGINNING BALANCE]]*(InterestRate/PaymentsPerYear),"")</f>
        <v>472.29503878949231</v>
      </c>
      <c r="J28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31223.006628780673</v>
      </c>
      <c r="K28" s="32">
        <f>IF(PaymentSchedule43[[#This Row],[PMT NO]]&lt;&gt;"",SUM(INDEX(PaymentSchedule43[INTEREST],1,1):PaymentSchedule43[[#This Row],[INTEREST]]),"")</f>
        <v>7992.9958977135557</v>
      </c>
    </row>
    <row r="29" spans="2:11" x14ac:dyDescent="0.3">
      <c r="B29" s="30">
        <f>IF(LoanIsGood,IF(ROW()-ROW(PaymentSchedule43[[#Headers],[PMT NO]])&gt;ScheduledNumberOfPayments,"",ROW()-ROW(PaymentSchedule43[[#Headers],[PMT NO]])),"")</f>
        <v>17</v>
      </c>
      <c r="C29" s="31">
        <f>IF(PaymentSchedule43[[#This Row],[PMT NO]]&lt;&gt;"",EOMONTH(LoanStartDate,ROW(PaymentSchedule43[[#This Row],[PMT NO]])-ROW(PaymentSchedule43[[#Headers],[PMT NO]])-2)+DAY(LoanStartDate),"")</f>
        <v>44228</v>
      </c>
      <c r="D29" s="32">
        <f>IF(PaymentSchedule43[[#This Row],[PMT NO]]&lt;&gt;"",IF(ROW()-ROW(PaymentSchedule43[[#Headers],[BEGINNING BALANCE]])=1,LoanAmount,INDEX(PaymentSchedule43[ENDING BALANCE],ROW()-ROW(PaymentSchedule43[[#Headers],[BEGINNING BALANCE]])-1)),"")</f>
        <v>31223.006628780673</v>
      </c>
      <c r="E29" s="32">
        <f>IF(PaymentSchedule43[[#This Row],[PMT NO]]&lt;&gt;"",ScheduledPayment,"")</f>
        <v>735.62432930830539</v>
      </c>
      <c r="F29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29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29" s="32">
        <f>IF(PaymentSchedule43[[#This Row],[PMT NO]]&lt;&gt;"",PaymentSchedule43[[#This Row],[TOTAL PAYMENT]]-PaymentSchedule43[[#This Row],[INTEREST]],"")</f>
        <v>267.27922987659531</v>
      </c>
      <c r="I29" s="32">
        <f>IF(PaymentSchedule43[[#This Row],[PMT NO]]&lt;&gt;"",PaymentSchedule43[[#This Row],[BEGINNING BALANCE]]*(InterestRate/PaymentsPerYear),"")</f>
        <v>468.34509943171008</v>
      </c>
      <c r="J29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30955.727398904077</v>
      </c>
      <c r="K29" s="32">
        <f>IF(PaymentSchedule43[[#This Row],[PMT NO]]&lt;&gt;"",SUM(INDEX(PaymentSchedule43[INTEREST],1,1):PaymentSchedule43[[#This Row],[INTEREST]]),"")</f>
        <v>8461.3409971452656</v>
      </c>
    </row>
    <row r="30" spans="2:11" x14ac:dyDescent="0.3">
      <c r="B30" s="30">
        <f>IF(LoanIsGood,IF(ROW()-ROW(PaymentSchedule43[[#Headers],[PMT NO]])&gt;ScheduledNumberOfPayments,"",ROW()-ROW(PaymentSchedule43[[#Headers],[PMT NO]])),"")</f>
        <v>18</v>
      </c>
      <c r="C30" s="31">
        <f>IF(PaymentSchedule43[[#This Row],[PMT NO]]&lt;&gt;"",EOMONTH(LoanStartDate,ROW(PaymentSchedule43[[#This Row],[PMT NO]])-ROW(PaymentSchedule43[[#Headers],[PMT NO]])-2)+DAY(LoanStartDate),"")</f>
        <v>44256</v>
      </c>
      <c r="D30" s="32">
        <f>IF(PaymentSchedule43[[#This Row],[PMT NO]]&lt;&gt;"",IF(ROW()-ROW(PaymentSchedule43[[#Headers],[BEGINNING BALANCE]])=1,LoanAmount,INDEX(PaymentSchedule43[ENDING BALANCE],ROW()-ROW(PaymentSchedule43[[#Headers],[BEGINNING BALANCE]])-1)),"")</f>
        <v>30955.727398904077</v>
      </c>
      <c r="E30" s="32">
        <f>IF(PaymentSchedule43[[#This Row],[PMT NO]]&lt;&gt;"",ScheduledPayment,"")</f>
        <v>735.62432930830539</v>
      </c>
      <c r="F30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30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30" s="32">
        <f>IF(PaymentSchedule43[[#This Row],[PMT NO]]&lt;&gt;"",PaymentSchedule43[[#This Row],[TOTAL PAYMENT]]-PaymentSchedule43[[#This Row],[INTEREST]],"")</f>
        <v>271.28841832474427</v>
      </c>
      <c r="I30" s="32">
        <f>IF(PaymentSchedule43[[#This Row],[PMT NO]]&lt;&gt;"",PaymentSchedule43[[#This Row],[BEGINNING BALANCE]]*(InterestRate/PaymentsPerYear),"")</f>
        <v>464.33591098356112</v>
      </c>
      <c r="J30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30684.438980579333</v>
      </c>
      <c r="K30" s="32">
        <f>IF(PaymentSchedule43[[#This Row],[PMT NO]]&lt;&gt;"",SUM(INDEX(PaymentSchedule43[INTEREST],1,1):PaymentSchedule43[[#This Row],[INTEREST]]),"")</f>
        <v>8925.6769081288276</v>
      </c>
    </row>
    <row r="31" spans="2:11" x14ac:dyDescent="0.3">
      <c r="B31" s="30">
        <f>IF(LoanIsGood,IF(ROW()-ROW(PaymentSchedule43[[#Headers],[PMT NO]])&gt;ScheduledNumberOfPayments,"",ROW()-ROW(PaymentSchedule43[[#Headers],[PMT NO]])),"")</f>
        <v>19</v>
      </c>
      <c r="C31" s="31">
        <f>IF(PaymentSchedule43[[#This Row],[PMT NO]]&lt;&gt;"",EOMONTH(LoanStartDate,ROW(PaymentSchedule43[[#This Row],[PMT NO]])-ROW(PaymentSchedule43[[#Headers],[PMT NO]])-2)+DAY(LoanStartDate),"")</f>
        <v>44287</v>
      </c>
      <c r="D31" s="32">
        <f>IF(PaymentSchedule43[[#This Row],[PMT NO]]&lt;&gt;"",IF(ROW()-ROW(PaymentSchedule43[[#Headers],[BEGINNING BALANCE]])=1,LoanAmount,INDEX(PaymentSchedule43[ENDING BALANCE],ROW()-ROW(PaymentSchedule43[[#Headers],[BEGINNING BALANCE]])-1)),"")</f>
        <v>30684.438980579333</v>
      </c>
      <c r="E31" s="32">
        <f>IF(PaymentSchedule43[[#This Row],[PMT NO]]&lt;&gt;"",ScheduledPayment,"")</f>
        <v>735.62432930830539</v>
      </c>
      <c r="F31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31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31" s="32">
        <f>IF(PaymentSchedule43[[#This Row],[PMT NO]]&lt;&gt;"",PaymentSchedule43[[#This Row],[TOTAL PAYMENT]]-PaymentSchedule43[[#This Row],[INTEREST]],"")</f>
        <v>275.35774459961544</v>
      </c>
      <c r="I31" s="32">
        <f>IF(PaymentSchedule43[[#This Row],[PMT NO]]&lt;&gt;"",PaymentSchedule43[[#This Row],[BEGINNING BALANCE]]*(InterestRate/PaymentsPerYear),"")</f>
        <v>460.26658470868995</v>
      </c>
      <c r="J31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30409.081235979716</v>
      </c>
      <c r="K31" s="32">
        <f>IF(PaymentSchedule43[[#This Row],[PMT NO]]&lt;&gt;"",SUM(INDEX(PaymentSchedule43[INTEREST],1,1):PaymentSchedule43[[#This Row],[INTEREST]]),"")</f>
        <v>9385.9434928375176</v>
      </c>
    </row>
    <row r="32" spans="2:11" x14ac:dyDescent="0.3">
      <c r="B32" s="30">
        <f>IF(LoanIsGood,IF(ROW()-ROW(PaymentSchedule43[[#Headers],[PMT NO]])&gt;ScheduledNumberOfPayments,"",ROW()-ROW(PaymentSchedule43[[#Headers],[PMT NO]])),"")</f>
        <v>20</v>
      </c>
      <c r="C32" s="31">
        <f>IF(PaymentSchedule43[[#This Row],[PMT NO]]&lt;&gt;"",EOMONTH(LoanStartDate,ROW(PaymentSchedule43[[#This Row],[PMT NO]])-ROW(PaymentSchedule43[[#Headers],[PMT NO]])-2)+DAY(LoanStartDate),"")</f>
        <v>44317</v>
      </c>
      <c r="D32" s="32">
        <f>IF(PaymentSchedule43[[#This Row],[PMT NO]]&lt;&gt;"",IF(ROW()-ROW(PaymentSchedule43[[#Headers],[BEGINNING BALANCE]])=1,LoanAmount,INDEX(PaymentSchedule43[ENDING BALANCE],ROW()-ROW(PaymentSchedule43[[#Headers],[BEGINNING BALANCE]])-1)),"")</f>
        <v>30409.081235979716</v>
      </c>
      <c r="E32" s="32">
        <f>IF(PaymentSchedule43[[#This Row],[PMT NO]]&lt;&gt;"",ScheduledPayment,"")</f>
        <v>735.62432930830539</v>
      </c>
      <c r="F32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32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32" s="32">
        <f>IF(PaymentSchedule43[[#This Row],[PMT NO]]&lt;&gt;"",PaymentSchedule43[[#This Row],[TOTAL PAYMENT]]-PaymentSchedule43[[#This Row],[INTEREST]],"")</f>
        <v>279.48811076860966</v>
      </c>
      <c r="I32" s="32">
        <f>IF(PaymentSchedule43[[#This Row],[PMT NO]]&lt;&gt;"",PaymentSchedule43[[#This Row],[BEGINNING BALANCE]]*(InterestRate/PaymentsPerYear),"")</f>
        <v>456.13621853969573</v>
      </c>
      <c r="J32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30129.593125211108</v>
      </c>
      <c r="K32" s="32">
        <f>IF(PaymentSchedule43[[#This Row],[PMT NO]]&lt;&gt;"",SUM(INDEX(PaymentSchedule43[INTEREST],1,1):PaymentSchedule43[[#This Row],[INTEREST]]),"")</f>
        <v>9842.0797113772132</v>
      </c>
    </row>
    <row r="33" spans="2:11" x14ac:dyDescent="0.3">
      <c r="B33" s="30">
        <f>IF(LoanIsGood,IF(ROW()-ROW(PaymentSchedule43[[#Headers],[PMT NO]])&gt;ScheduledNumberOfPayments,"",ROW()-ROW(PaymentSchedule43[[#Headers],[PMT NO]])),"")</f>
        <v>21</v>
      </c>
      <c r="C33" s="31">
        <f>IF(PaymentSchedule43[[#This Row],[PMT NO]]&lt;&gt;"",EOMONTH(LoanStartDate,ROW(PaymentSchedule43[[#This Row],[PMT NO]])-ROW(PaymentSchedule43[[#Headers],[PMT NO]])-2)+DAY(LoanStartDate),"")</f>
        <v>44348</v>
      </c>
      <c r="D33" s="32">
        <f>IF(PaymentSchedule43[[#This Row],[PMT NO]]&lt;&gt;"",IF(ROW()-ROW(PaymentSchedule43[[#Headers],[BEGINNING BALANCE]])=1,LoanAmount,INDEX(PaymentSchedule43[ENDING BALANCE],ROW()-ROW(PaymentSchedule43[[#Headers],[BEGINNING BALANCE]])-1)),"")</f>
        <v>30129.593125211108</v>
      </c>
      <c r="E33" s="32">
        <f>IF(PaymentSchedule43[[#This Row],[PMT NO]]&lt;&gt;"",ScheduledPayment,"")</f>
        <v>735.62432930830539</v>
      </c>
      <c r="F33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33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33" s="32">
        <f>IF(PaymentSchedule43[[#This Row],[PMT NO]]&lt;&gt;"",PaymentSchedule43[[#This Row],[TOTAL PAYMENT]]-PaymentSchedule43[[#This Row],[INTEREST]],"")</f>
        <v>283.68043243013881</v>
      </c>
      <c r="I33" s="32">
        <f>IF(PaymentSchedule43[[#This Row],[PMT NO]]&lt;&gt;"",PaymentSchedule43[[#This Row],[BEGINNING BALANCE]]*(InterestRate/PaymentsPerYear),"")</f>
        <v>451.94389687816658</v>
      </c>
      <c r="J33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29845.91269278097</v>
      </c>
      <c r="K33" s="32">
        <f>IF(PaymentSchedule43[[#This Row],[PMT NO]]&lt;&gt;"",SUM(INDEX(PaymentSchedule43[INTEREST],1,1):PaymentSchedule43[[#This Row],[INTEREST]]),"")</f>
        <v>10294.02360825538</v>
      </c>
    </row>
    <row r="34" spans="2:11" x14ac:dyDescent="0.3">
      <c r="B34" s="30">
        <f>IF(LoanIsGood,IF(ROW()-ROW(PaymentSchedule43[[#Headers],[PMT NO]])&gt;ScheduledNumberOfPayments,"",ROW()-ROW(PaymentSchedule43[[#Headers],[PMT NO]])),"")</f>
        <v>22</v>
      </c>
      <c r="C34" s="31">
        <f>IF(PaymentSchedule43[[#This Row],[PMT NO]]&lt;&gt;"",EOMONTH(LoanStartDate,ROW(PaymentSchedule43[[#This Row],[PMT NO]])-ROW(PaymentSchedule43[[#Headers],[PMT NO]])-2)+DAY(LoanStartDate),"")</f>
        <v>44378</v>
      </c>
      <c r="D34" s="32">
        <f>IF(PaymentSchedule43[[#This Row],[PMT NO]]&lt;&gt;"",IF(ROW()-ROW(PaymentSchedule43[[#Headers],[BEGINNING BALANCE]])=1,LoanAmount,INDEX(PaymentSchedule43[ENDING BALANCE],ROW()-ROW(PaymentSchedule43[[#Headers],[BEGINNING BALANCE]])-1)),"")</f>
        <v>29845.91269278097</v>
      </c>
      <c r="E34" s="32">
        <f>IF(PaymentSchedule43[[#This Row],[PMT NO]]&lt;&gt;"",ScheduledPayment,"")</f>
        <v>735.62432930830539</v>
      </c>
      <c r="F34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34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34" s="32">
        <f>IF(PaymentSchedule43[[#This Row],[PMT NO]]&lt;&gt;"",PaymentSchedule43[[#This Row],[TOTAL PAYMENT]]-PaymentSchedule43[[#This Row],[INTEREST]],"")</f>
        <v>287.93563891659085</v>
      </c>
      <c r="I34" s="32">
        <f>IF(PaymentSchedule43[[#This Row],[PMT NO]]&lt;&gt;"",PaymentSchedule43[[#This Row],[BEGINNING BALANCE]]*(InterestRate/PaymentsPerYear),"")</f>
        <v>447.68869039171454</v>
      </c>
      <c r="J34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29557.977053864379</v>
      </c>
      <c r="K34" s="32">
        <f>IF(PaymentSchedule43[[#This Row],[PMT NO]]&lt;&gt;"",SUM(INDEX(PaymentSchedule43[INTEREST],1,1):PaymentSchedule43[[#This Row],[INTEREST]]),"")</f>
        <v>10741.712298647095</v>
      </c>
    </row>
    <row r="35" spans="2:11" x14ac:dyDescent="0.3">
      <c r="B35" s="30">
        <f>IF(LoanIsGood,IF(ROW()-ROW(PaymentSchedule43[[#Headers],[PMT NO]])&gt;ScheduledNumberOfPayments,"",ROW()-ROW(PaymentSchedule43[[#Headers],[PMT NO]])),"")</f>
        <v>23</v>
      </c>
      <c r="C35" s="31">
        <f>IF(PaymentSchedule43[[#This Row],[PMT NO]]&lt;&gt;"",EOMONTH(LoanStartDate,ROW(PaymentSchedule43[[#This Row],[PMT NO]])-ROW(PaymentSchedule43[[#Headers],[PMT NO]])-2)+DAY(LoanStartDate),"")</f>
        <v>44409</v>
      </c>
      <c r="D35" s="32">
        <f>IF(PaymentSchedule43[[#This Row],[PMT NO]]&lt;&gt;"",IF(ROW()-ROW(PaymentSchedule43[[#Headers],[BEGINNING BALANCE]])=1,LoanAmount,INDEX(PaymentSchedule43[ENDING BALANCE],ROW()-ROW(PaymentSchedule43[[#Headers],[BEGINNING BALANCE]])-1)),"")</f>
        <v>29557.977053864379</v>
      </c>
      <c r="E35" s="32">
        <f>IF(PaymentSchedule43[[#This Row],[PMT NO]]&lt;&gt;"",ScheduledPayment,"")</f>
        <v>735.62432930830539</v>
      </c>
      <c r="F35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35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35" s="32">
        <f>IF(PaymentSchedule43[[#This Row],[PMT NO]]&lt;&gt;"",PaymentSchedule43[[#This Row],[TOTAL PAYMENT]]-PaymentSchedule43[[#This Row],[INTEREST]],"")</f>
        <v>292.25467350033972</v>
      </c>
      <c r="I35" s="32">
        <f>IF(PaymentSchedule43[[#This Row],[PMT NO]]&lt;&gt;"",PaymentSchedule43[[#This Row],[BEGINNING BALANCE]]*(InterestRate/PaymentsPerYear),"")</f>
        <v>443.36965580796567</v>
      </c>
      <c r="J35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29265.722380364041</v>
      </c>
      <c r="K35" s="32">
        <f>IF(PaymentSchedule43[[#This Row],[PMT NO]]&lt;&gt;"",SUM(INDEX(PaymentSchedule43[INTEREST],1,1):PaymentSchedule43[[#This Row],[INTEREST]]),"")</f>
        <v>11185.081954455061</v>
      </c>
    </row>
    <row r="36" spans="2:11" x14ac:dyDescent="0.3">
      <c r="B36" s="30">
        <f>IF(LoanIsGood,IF(ROW()-ROW(PaymentSchedule43[[#Headers],[PMT NO]])&gt;ScheduledNumberOfPayments,"",ROW()-ROW(PaymentSchedule43[[#Headers],[PMT NO]])),"")</f>
        <v>24</v>
      </c>
      <c r="C36" s="31">
        <f>IF(PaymentSchedule43[[#This Row],[PMT NO]]&lt;&gt;"",EOMONTH(LoanStartDate,ROW(PaymentSchedule43[[#This Row],[PMT NO]])-ROW(PaymentSchedule43[[#Headers],[PMT NO]])-2)+DAY(LoanStartDate),"")</f>
        <v>44440</v>
      </c>
      <c r="D36" s="32">
        <f>IF(PaymentSchedule43[[#This Row],[PMT NO]]&lt;&gt;"",IF(ROW()-ROW(PaymentSchedule43[[#Headers],[BEGINNING BALANCE]])=1,LoanAmount,INDEX(PaymentSchedule43[ENDING BALANCE],ROW()-ROW(PaymentSchedule43[[#Headers],[BEGINNING BALANCE]])-1)),"")</f>
        <v>29265.722380364041</v>
      </c>
      <c r="E36" s="32">
        <f>IF(PaymentSchedule43[[#This Row],[PMT NO]]&lt;&gt;"",ScheduledPayment,"")</f>
        <v>735.62432930830539</v>
      </c>
      <c r="F36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36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36" s="32">
        <f>IF(PaymentSchedule43[[#This Row],[PMT NO]]&lt;&gt;"",PaymentSchedule43[[#This Row],[TOTAL PAYMENT]]-PaymentSchedule43[[#This Row],[INTEREST]],"")</f>
        <v>296.63849360284479</v>
      </c>
      <c r="I36" s="32">
        <f>IF(PaymentSchedule43[[#This Row],[PMT NO]]&lt;&gt;"",PaymentSchedule43[[#This Row],[BEGINNING BALANCE]]*(InterestRate/PaymentsPerYear),"")</f>
        <v>438.9858357054606</v>
      </c>
      <c r="J36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28969.083886761196</v>
      </c>
      <c r="K36" s="32">
        <f>IF(PaymentSchedule43[[#This Row],[PMT NO]]&lt;&gt;"",SUM(INDEX(PaymentSchedule43[INTEREST],1,1):PaymentSchedule43[[#This Row],[INTEREST]]),"")</f>
        <v>11624.067790160521</v>
      </c>
    </row>
    <row r="37" spans="2:11" x14ac:dyDescent="0.3">
      <c r="B37" s="30">
        <f>IF(LoanIsGood,IF(ROW()-ROW(PaymentSchedule43[[#Headers],[PMT NO]])&gt;ScheduledNumberOfPayments,"",ROW()-ROW(PaymentSchedule43[[#Headers],[PMT NO]])),"")</f>
        <v>25</v>
      </c>
      <c r="C37" s="31">
        <f>IF(PaymentSchedule43[[#This Row],[PMT NO]]&lt;&gt;"",EOMONTH(LoanStartDate,ROW(PaymentSchedule43[[#This Row],[PMT NO]])-ROW(PaymentSchedule43[[#Headers],[PMT NO]])-2)+DAY(LoanStartDate),"")</f>
        <v>44470</v>
      </c>
      <c r="D37" s="32">
        <f>IF(PaymentSchedule43[[#This Row],[PMT NO]]&lt;&gt;"",IF(ROW()-ROW(PaymentSchedule43[[#Headers],[BEGINNING BALANCE]])=1,LoanAmount,INDEX(PaymentSchedule43[ENDING BALANCE],ROW()-ROW(PaymentSchedule43[[#Headers],[BEGINNING BALANCE]])-1)),"")</f>
        <v>28969.083886761196</v>
      </c>
      <c r="E37" s="32">
        <f>IF(PaymentSchedule43[[#This Row],[PMT NO]]&lt;&gt;"",ScheduledPayment,"")</f>
        <v>735.62432930830539</v>
      </c>
      <c r="F37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37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37" s="32">
        <f>IF(PaymentSchedule43[[#This Row],[PMT NO]]&lt;&gt;"",PaymentSchedule43[[#This Row],[TOTAL PAYMENT]]-PaymentSchedule43[[#This Row],[INTEREST]],"")</f>
        <v>301.08807100688745</v>
      </c>
      <c r="I37" s="32">
        <f>IF(PaymentSchedule43[[#This Row],[PMT NO]]&lt;&gt;"",PaymentSchedule43[[#This Row],[BEGINNING BALANCE]]*(InterestRate/PaymentsPerYear),"")</f>
        <v>434.53625830141794</v>
      </c>
      <c r="J37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28667.995815754308</v>
      </c>
      <c r="K37" s="32">
        <f>IF(PaymentSchedule43[[#This Row],[PMT NO]]&lt;&gt;"",SUM(INDEX(PaymentSchedule43[INTEREST],1,1):PaymentSchedule43[[#This Row],[INTEREST]]),"")</f>
        <v>12058.604048461939</v>
      </c>
    </row>
    <row r="38" spans="2:11" x14ac:dyDescent="0.3">
      <c r="B38" s="30">
        <f>IF(LoanIsGood,IF(ROW()-ROW(PaymentSchedule43[[#Headers],[PMT NO]])&gt;ScheduledNumberOfPayments,"",ROW()-ROW(PaymentSchedule43[[#Headers],[PMT NO]])),"")</f>
        <v>26</v>
      </c>
      <c r="C38" s="31">
        <f>IF(PaymentSchedule43[[#This Row],[PMT NO]]&lt;&gt;"",EOMONTH(LoanStartDate,ROW(PaymentSchedule43[[#This Row],[PMT NO]])-ROW(PaymentSchedule43[[#Headers],[PMT NO]])-2)+DAY(LoanStartDate),"")</f>
        <v>44501</v>
      </c>
      <c r="D38" s="32">
        <f>IF(PaymentSchedule43[[#This Row],[PMT NO]]&lt;&gt;"",IF(ROW()-ROW(PaymentSchedule43[[#Headers],[BEGINNING BALANCE]])=1,LoanAmount,INDEX(PaymentSchedule43[ENDING BALANCE],ROW()-ROW(PaymentSchedule43[[#Headers],[BEGINNING BALANCE]])-1)),"")</f>
        <v>28667.995815754308</v>
      </c>
      <c r="E38" s="32">
        <f>IF(PaymentSchedule43[[#This Row],[PMT NO]]&lt;&gt;"",ScheduledPayment,"")</f>
        <v>735.62432930830539</v>
      </c>
      <c r="F38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38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38" s="32">
        <f>IF(PaymentSchedule43[[#This Row],[PMT NO]]&lt;&gt;"",PaymentSchedule43[[#This Row],[TOTAL PAYMENT]]-PaymentSchedule43[[#This Row],[INTEREST]],"")</f>
        <v>305.60439207199079</v>
      </c>
      <c r="I38" s="32">
        <f>IF(PaymentSchedule43[[#This Row],[PMT NO]]&lt;&gt;"",PaymentSchedule43[[#This Row],[BEGINNING BALANCE]]*(InterestRate/PaymentsPerYear),"")</f>
        <v>430.0199372363146</v>
      </c>
      <c r="J38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28362.391423682318</v>
      </c>
      <c r="K38" s="32">
        <f>IF(PaymentSchedule43[[#This Row],[PMT NO]]&lt;&gt;"",SUM(INDEX(PaymentSchedule43[INTEREST],1,1):PaymentSchedule43[[#This Row],[INTEREST]]),"")</f>
        <v>12488.623985698254</v>
      </c>
    </row>
    <row r="39" spans="2:11" x14ac:dyDescent="0.3">
      <c r="B39" s="30">
        <f>IF(LoanIsGood,IF(ROW()-ROW(PaymentSchedule43[[#Headers],[PMT NO]])&gt;ScheduledNumberOfPayments,"",ROW()-ROW(PaymentSchedule43[[#Headers],[PMT NO]])),"")</f>
        <v>27</v>
      </c>
      <c r="C39" s="31">
        <f>IF(PaymentSchedule43[[#This Row],[PMT NO]]&lt;&gt;"",EOMONTH(LoanStartDate,ROW(PaymentSchedule43[[#This Row],[PMT NO]])-ROW(PaymentSchedule43[[#Headers],[PMT NO]])-2)+DAY(LoanStartDate),"")</f>
        <v>44531</v>
      </c>
      <c r="D39" s="32">
        <f>IF(PaymentSchedule43[[#This Row],[PMT NO]]&lt;&gt;"",IF(ROW()-ROW(PaymentSchedule43[[#Headers],[BEGINNING BALANCE]])=1,LoanAmount,INDEX(PaymentSchedule43[ENDING BALANCE],ROW()-ROW(PaymentSchedule43[[#Headers],[BEGINNING BALANCE]])-1)),"")</f>
        <v>28362.391423682318</v>
      </c>
      <c r="E39" s="32">
        <f>IF(PaymentSchedule43[[#This Row],[PMT NO]]&lt;&gt;"",ScheduledPayment,"")</f>
        <v>735.62432930830539</v>
      </c>
      <c r="F39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39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39" s="32">
        <f>IF(PaymentSchedule43[[#This Row],[PMT NO]]&lt;&gt;"",PaymentSchedule43[[#This Row],[TOTAL PAYMENT]]-PaymentSchedule43[[#This Row],[INTEREST]],"")</f>
        <v>310.18845795307061</v>
      </c>
      <c r="I39" s="32">
        <f>IF(PaymentSchedule43[[#This Row],[PMT NO]]&lt;&gt;"",PaymentSchedule43[[#This Row],[BEGINNING BALANCE]]*(InterestRate/PaymentsPerYear),"")</f>
        <v>425.43587135523478</v>
      </c>
      <c r="J39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28052.202965729248</v>
      </c>
      <c r="K39" s="32">
        <f>IF(PaymentSchedule43[[#This Row],[PMT NO]]&lt;&gt;"",SUM(INDEX(PaymentSchedule43[INTEREST],1,1):PaymentSchedule43[[#This Row],[INTEREST]]),"")</f>
        <v>12914.059857053489</v>
      </c>
    </row>
    <row r="40" spans="2:11" x14ac:dyDescent="0.3">
      <c r="B40" s="30">
        <f>IF(LoanIsGood,IF(ROW()-ROW(PaymentSchedule43[[#Headers],[PMT NO]])&gt;ScheduledNumberOfPayments,"",ROW()-ROW(PaymentSchedule43[[#Headers],[PMT NO]])),"")</f>
        <v>28</v>
      </c>
      <c r="C40" s="31">
        <f>IF(PaymentSchedule43[[#This Row],[PMT NO]]&lt;&gt;"",EOMONTH(LoanStartDate,ROW(PaymentSchedule43[[#This Row],[PMT NO]])-ROW(PaymentSchedule43[[#Headers],[PMT NO]])-2)+DAY(LoanStartDate),"")</f>
        <v>44562</v>
      </c>
      <c r="D40" s="32">
        <f>IF(PaymentSchedule43[[#This Row],[PMT NO]]&lt;&gt;"",IF(ROW()-ROW(PaymentSchedule43[[#Headers],[BEGINNING BALANCE]])=1,LoanAmount,INDEX(PaymentSchedule43[ENDING BALANCE],ROW()-ROW(PaymentSchedule43[[#Headers],[BEGINNING BALANCE]])-1)),"")</f>
        <v>28052.202965729248</v>
      </c>
      <c r="E40" s="32">
        <f>IF(PaymentSchedule43[[#This Row],[PMT NO]]&lt;&gt;"",ScheduledPayment,"")</f>
        <v>735.62432930830539</v>
      </c>
      <c r="F40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40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40" s="32">
        <f>IF(PaymentSchedule43[[#This Row],[PMT NO]]&lt;&gt;"",PaymentSchedule43[[#This Row],[TOTAL PAYMENT]]-PaymentSchedule43[[#This Row],[INTEREST]],"")</f>
        <v>314.84128482236667</v>
      </c>
      <c r="I40" s="32">
        <f>IF(PaymentSchedule43[[#This Row],[PMT NO]]&lt;&gt;"",PaymentSchedule43[[#This Row],[BEGINNING BALANCE]]*(InterestRate/PaymentsPerYear),"")</f>
        <v>420.78304448593872</v>
      </c>
      <c r="J40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27737.361680906881</v>
      </c>
      <c r="K40" s="32">
        <f>IF(PaymentSchedule43[[#This Row],[PMT NO]]&lt;&gt;"",SUM(INDEX(PaymentSchedule43[INTEREST],1,1):PaymentSchedule43[[#This Row],[INTEREST]]),"")</f>
        <v>13334.842901539429</v>
      </c>
    </row>
    <row r="41" spans="2:11" x14ac:dyDescent="0.3">
      <c r="B41" s="30">
        <f>IF(LoanIsGood,IF(ROW()-ROW(PaymentSchedule43[[#Headers],[PMT NO]])&gt;ScheduledNumberOfPayments,"",ROW()-ROW(PaymentSchedule43[[#Headers],[PMT NO]])),"")</f>
        <v>29</v>
      </c>
      <c r="C41" s="31">
        <f>IF(PaymentSchedule43[[#This Row],[PMT NO]]&lt;&gt;"",EOMONTH(LoanStartDate,ROW(PaymentSchedule43[[#This Row],[PMT NO]])-ROW(PaymentSchedule43[[#Headers],[PMT NO]])-2)+DAY(LoanStartDate),"")</f>
        <v>44593</v>
      </c>
      <c r="D41" s="32">
        <f>IF(PaymentSchedule43[[#This Row],[PMT NO]]&lt;&gt;"",IF(ROW()-ROW(PaymentSchedule43[[#Headers],[BEGINNING BALANCE]])=1,LoanAmount,INDEX(PaymentSchedule43[ENDING BALANCE],ROW()-ROW(PaymentSchedule43[[#Headers],[BEGINNING BALANCE]])-1)),"")</f>
        <v>27737.361680906881</v>
      </c>
      <c r="E41" s="32">
        <f>IF(PaymentSchedule43[[#This Row],[PMT NO]]&lt;&gt;"",ScheduledPayment,"")</f>
        <v>735.62432930830539</v>
      </c>
      <c r="F41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41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41" s="32">
        <f>IF(PaymentSchedule43[[#This Row],[PMT NO]]&lt;&gt;"",PaymentSchedule43[[#This Row],[TOTAL PAYMENT]]-PaymentSchedule43[[#This Row],[INTEREST]],"")</f>
        <v>319.5639040947022</v>
      </c>
      <c r="I41" s="32">
        <f>IF(PaymentSchedule43[[#This Row],[PMT NO]]&lt;&gt;"",PaymentSchedule43[[#This Row],[BEGINNING BALANCE]]*(InterestRate/PaymentsPerYear),"")</f>
        <v>416.0604252136032</v>
      </c>
      <c r="J41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27417.797776812178</v>
      </c>
      <c r="K41" s="32">
        <f>IF(PaymentSchedule43[[#This Row],[PMT NO]]&lt;&gt;"",SUM(INDEX(PaymentSchedule43[INTEREST],1,1):PaymentSchedule43[[#This Row],[INTEREST]]),"")</f>
        <v>13750.903326753032</v>
      </c>
    </row>
    <row r="42" spans="2:11" x14ac:dyDescent="0.3">
      <c r="B42" s="30">
        <f>IF(LoanIsGood,IF(ROW()-ROW(PaymentSchedule43[[#Headers],[PMT NO]])&gt;ScheduledNumberOfPayments,"",ROW()-ROW(PaymentSchedule43[[#Headers],[PMT NO]])),"")</f>
        <v>30</v>
      </c>
      <c r="C42" s="31">
        <f>IF(PaymentSchedule43[[#This Row],[PMT NO]]&lt;&gt;"",EOMONTH(LoanStartDate,ROW(PaymentSchedule43[[#This Row],[PMT NO]])-ROW(PaymentSchedule43[[#Headers],[PMT NO]])-2)+DAY(LoanStartDate),"")</f>
        <v>44621</v>
      </c>
      <c r="D42" s="32">
        <f>IF(PaymentSchedule43[[#This Row],[PMT NO]]&lt;&gt;"",IF(ROW()-ROW(PaymentSchedule43[[#Headers],[BEGINNING BALANCE]])=1,LoanAmount,INDEX(PaymentSchedule43[ENDING BALANCE],ROW()-ROW(PaymentSchedule43[[#Headers],[BEGINNING BALANCE]])-1)),"")</f>
        <v>27417.797776812178</v>
      </c>
      <c r="E42" s="32">
        <f>IF(PaymentSchedule43[[#This Row],[PMT NO]]&lt;&gt;"",ScheduledPayment,"")</f>
        <v>735.62432930830539</v>
      </c>
      <c r="F42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42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42" s="32">
        <f>IF(PaymentSchedule43[[#This Row],[PMT NO]]&lt;&gt;"",PaymentSchedule43[[#This Row],[TOTAL PAYMENT]]-PaymentSchedule43[[#This Row],[INTEREST]],"")</f>
        <v>324.35736265612275</v>
      </c>
      <c r="I42" s="32">
        <f>IF(PaymentSchedule43[[#This Row],[PMT NO]]&lt;&gt;"",PaymentSchedule43[[#This Row],[BEGINNING BALANCE]]*(InterestRate/PaymentsPerYear),"")</f>
        <v>411.26696665218265</v>
      </c>
      <c r="J42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27093.440414156055</v>
      </c>
      <c r="K42" s="32">
        <f>IF(PaymentSchedule43[[#This Row],[PMT NO]]&lt;&gt;"",SUM(INDEX(PaymentSchedule43[INTEREST],1,1):PaymentSchedule43[[#This Row],[INTEREST]]),"")</f>
        <v>14162.170293405215</v>
      </c>
    </row>
    <row r="43" spans="2:11" x14ac:dyDescent="0.3">
      <c r="B43" s="30">
        <f>IF(LoanIsGood,IF(ROW()-ROW(PaymentSchedule43[[#Headers],[PMT NO]])&gt;ScheduledNumberOfPayments,"",ROW()-ROW(PaymentSchedule43[[#Headers],[PMT NO]])),"")</f>
        <v>31</v>
      </c>
      <c r="C43" s="31">
        <f>IF(PaymentSchedule43[[#This Row],[PMT NO]]&lt;&gt;"",EOMONTH(LoanStartDate,ROW(PaymentSchedule43[[#This Row],[PMT NO]])-ROW(PaymentSchedule43[[#Headers],[PMT NO]])-2)+DAY(LoanStartDate),"")</f>
        <v>44652</v>
      </c>
      <c r="D43" s="32">
        <f>IF(PaymentSchedule43[[#This Row],[PMT NO]]&lt;&gt;"",IF(ROW()-ROW(PaymentSchedule43[[#Headers],[BEGINNING BALANCE]])=1,LoanAmount,INDEX(PaymentSchedule43[ENDING BALANCE],ROW()-ROW(PaymentSchedule43[[#Headers],[BEGINNING BALANCE]])-1)),"")</f>
        <v>27093.440414156055</v>
      </c>
      <c r="E43" s="32">
        <f>IF(PaymentSchedule43[[#This Row],[PMT NO]]&lt;&gt;"",ScheduledPayment,"")</f>
        <v>735.62432930830539</v>
      </c>
      <c r="F43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43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43" s="32">
        <f>IF(PaymentSchedule43[[#This Row],[PMT NO]]&lt;&gt;"",PaymentSchedule43[[#This Row],[TOTAL PAYMENT]]-PaymentSchedule43[[#This Row],[INTEREST]],"")</f>
        <v>329.22272309596457</v>
      </c>
      <c r="I43" s="32">
        <f>IF(PaymentSchedule43[[#This Row],[PMT NO]]&lt;&gt;"",PaymentSchedule43[[#This Row],[BEGINNING BALANCE]]*(InterestRate/PaymentsPerYear),"")</f>
        <v>406.40160621234082</v>
      </c>
      <c r="J43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26764.21769106009</v>
      </c>
      <c r="K43" s="32">
        <f>IF(PaymentSchedule43[[#This Row],[PMT NO]]&lt;&gt;"",SUM(INDEX(PaymentSchedule43[INTEREST],1,1):PaymentSchedule43[[#This Row],[INTEREST]]),"")</f>
        <v>14568.571899617556</v>
      </c>
    </row>
    <row r="44" spans="2:11" x14ac:dyDescent="0.3">
      <c r="B44" s="30">
        <f>IF(LoanIsGood,IF(ROW()-ROW(PaymentSchedule43[[#Headers],[PMT NO]])&gt;ScheduledNumberOfPayments,"",ROW()-ROW(PaymentSchedule43[[#Headers],[PMT NO]])),"")</f>
        <v>32</v>
      </c>
      <c r="C44" s="31">
        <f>IF(PaymentSchedule43[[#This Row],[PMT NO]]&lt;&gt;"",EOMONTH(LoanStartDate,ROW(PaymentSchedule43[[#This Row],[PMT NO]])-ROW(PaymentSchedule43[[#Headers],[PMT NO]])-2)+DAY(LoanStartDate),"")</f>
        <v>44682</v>
      </c>
      <c r="D44" s="32">
        <f>IF(PaymentSchedule43[[#This Row],[PMT NO]]&lt;&gt;"",IF(ROW()-ROW(PaymentSchedule43[[#Headers],[BEGINNING BALANCE]])=1,LoanAmount,INDEX(PaymentSchedule43[ENDING BALANCE],ROW()-ROW(PaymentSchedule43[[#Headers],[BEGINNING BALANCE]])-1)),"")</f>
        <v>26764.21769106009</v>
      </c>
      <c r="E44" s="32">
        <f>IF(PaymentSchedule43[[#This Row],[PMT NO]]&lt;&gt;"",ScheduledPayment,"")</f>
        <v>735.62432930830539</v>
      </c>
      <c r="F44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44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44" s="32">
        <f>IF(PaymentSchedule43[[#This Row],[PMT NO]]&lt;&gt;"",PaymentSchedule43[[#This Row],[TOTAL PAYMENT]]-PaymentSchedule43[[#This Row],[INTEREST]],"")</f>
        <v>334.16106394240404</v>
      </c>
      <c r="I44" s="32">
        <f>IF(PaymentSchedule43[[#This Row],[PMT NO]]&lt;&gt;"",PaymentSchedule43[[#This Row],[BEGINNING BALANCE]]*(InterestRate/PaymentsPerYear),"")</f>
        <v>401.46326536590135</v>
      </c>
      <c r="J44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26430.056627117687</v>
      </c>
      <c r="K44" s="32">
        <f>IF(PaymentSchedule43[[#This Row],[PMT NO]]&lt;&gt;"",SUM(INDEX(PaymentSchedule43[INTEREST],1,1):PaymentSchedule43[[#This Row],[INTEREST]]),"")</f>
        <v>14970.035164983457</v>
      </c>
    </row>
    <row r="45" spans="2:11" x14ac:dyDescent="0.3">
      <c r="B45" s="30">
        <f>IF(LoanIsGood,IF(ROW()-ROW(PaymentSchedule43[[#Headers],[PMT NO]])&gt;ScheduledNumberOfPayments,"",ROW()-ROW(PaymentSchedule43[[#Headers],[PMT NO]])),"")</f>
        <v>33</v>
      </c>
      <c r="C45" s="31">
        <f>IF(PaymentSchedule43[[#This Row],[PMT NO]]&lt;&gt;"",EOMONTH(LoanStartDate,ROW(PaymentSchedule43[[#This Row],[PMT NO]])-ROW(PaymentSchedule43[[#Headers],[PMT NO]])-2)+DAY(LoanStartDate),"")</f>
        <v>44713</v>
      </c>
      <c r="D45" s="32">
        <f>IF(PaymentSchedule43[[#This Row],[PMT NO]]&lt;&gt;"",IF(ROW()-ROW(PaymentSchedule43[[#Headers],[BEGINNING BALANCE]])=1,LoanAmount,INDEX(PaymentSchedule43[ENDING BALANCE],ROW()-ROW(PaymentSchedule43[[#Headers],[BEGINNING BALANCE]])-1)),"")</f>
        <v>26430.056627117687</v>
      </c>
      <c r="E45" s="32">
        <f>IF(PaymentSchedule43[[#This Row],[PMT NO]]&lt;&gt;"",ScheduledPayment,"")</f>
        <v>735.62432930830539</v>
      </c>
      <c r="F45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45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45" s="32">
        <f>IF(PaymentSchedule43[[#This Row],[PMT NO]]&lt;&gt;"",PaymentSchedule43[[#This Row],[TOTAL PAYMENT]]-PaymentSchedule43[[#This Row],[INTEREST]],"")</f>
        <v>339.17347990154008</v>
      </c>
      <c r="I45" s="32">
        <f>IF(PaymentSchedule43[[#This Row],[PMT NO]]&lt;&gt;"",PaymentSchedule43[[#This Row],[BEGINNING BALANCE]]*(InterestRate/PaymentsPerYear),"")</f>
        <v>396.45084940676531</v>
      </c>
      <c r="J45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26090.883147216147</v>
      </c>
      <c r="K45" s="32">
        <f>IF(PaymentSchedule43[[#This Row],[PMT NO]]&lt;&gt;"",SUM(INDEX(PaymentSchedule43[INTEREST],1,1):PaymentSchedule43[[#This Row],[INTEREST]]),"")</f>
        <v>15366.486014390222</v>
      </c>
    </row>
    <row r="46" spans="2:11" x14ac:dyDescent="0.3">
      <c r="B46" s="30">
        <f>IF(LoanIsGood,IF(ROW()-ROW(PaymentSchedule43[[#Headers],[PMT NO]])&gt;ScheduledNumberOfPayments,"",ROW()-ROW(PaymentSchedule43[[#Headers],[PMT NO]])),"")</f>
        <v>34</v>
      </c>
      <c r="C46" s="31">
        <f>IF(PaymentSchedule43[[#This Row],[PMT NO]]&lt;&gt;"",EOMONTH(LoanStartDate,ROW(PaymentSchedule43[[#This Row],[PMT NO]])-ROW(PaymentSchedule43[[#Headers],[PMT NO]])-2)+DAY(LoanStartDate),"")</f>
        <v>44743</v>
      </c>
      <c r="D46" s="32">
        <f>IF(PaymentSchedule43[[#This Row],[PMT NO]]&lt;&gt;"",IF(ROW()-ROW(PaymentSchedule43[[#Headers],[BEGINNING BALANCE]])=1,LoanAmount,INDEX(PaymentSchedule43[ENDING BALANCE],ROW()-ROW(PaymentSchedule43[[#Headers],[BEGINNING BALANCE]])-1)),"")</f>
        <v>26090.883147216147</v>
      </c>
      <c r="E46" s="32">
        <f>IF(PaymentSchedule43[[#This Row],[PMT NO]]&lt;&gt;"",ScheduledPayment,"")</f>
        <v>735.62432930830539</v>
      </c>
      <c r="F46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46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46" s="32">
        <f>IF(PaymentSchedule43[[#This Row],[PMT NO]]&lt;&gt;"",PaymentSchedule43[[#This Row],[TOTAL PAYMENT]]-PaymentSchedule43[[#This Row],[INTEREST]],"")</f>
        <v>344.26108210006322</v>
      </c>
      <c r="I46" s="32">
        <f>IF(PaymentSchedule43[[#This Row],[PMT NO]]&lt;&gt;"",PaymentSchedule43[[#This Row],[BEGINNING BALANCE]]*(InterestRate/PaymentsPerYear),"")</f>
        <v>391.36324720824217</v>
      </c>
      <c r="J46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25746.622065116084</v>
      </c>
      <c r="K46" s="32">
        <f>IF(PaymentSchedule43[[#This Row],[PMT NO]]&lt;&gt;"",SUM(INDEX(PaymentSchedule43[INTEREST],1,1):PaymentSchedule43[[#This Row],[INTEREST]]),"")</f>
        <v>15757.849261598465</v>
      </c>
    </row>
    <row r="47" spans="2:11" x14ac:dyDescent="0.3">
      <c r="B47" s="30">
        <f>IF(LoanIsGood,IF(ROW()-ROW(PaymentSchedule43[[#Headers],[PMT NO]])&gt;ScheduledNumberOfPayments,"",ROW()-ROW(PaymentSchedule43[[#Headers],[PMT NO]])),"")</f>
        <v>35</v>
      </c>
      <c r="C47" s="31">
        <f>IF(PaymentSchedule43[[#This Row],[PMT NO]]&lt;&gt;"",EOMONTH(LoanStartDate,ROW(PaymentSchedule43[[#This Row],[PMT NO]])-ROW(PaymentSchedule43[[#Headers],[PMT NO]])-2)+DAY(LoanStartDate),"")</f>
        <v>44774</v>
      </c>
      <c r="D47" s="32">
        <f>IF(PaymentSchedule43[[#This Row],[PMT NO]]&lt;&gt;"",IF(ROW()-ROW(PaymentSchedule43[[#Headers],[BEGINNING BALANCE]])=1,LoanAmount,INDEX(PaymentSchedule43[ENDING BALANCE],ROW()-ROW(PaymentSchedule43[[#Headers],[BEGINNING BALANCE]])-1)),"")</f>
        <v>25746.622065116084</v>
      </c>
      <c r="E47" s="32">
        <f>IF(PaymentSchedule43[[#This Row],[PMT NO]]&lt;&gt;"",ScheduledPayment,"")</f>
        <v>735.62432930830539</v>
      </c>
      <c r="F47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47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47" s="32">
        <f>IF(PaymentSchedule43[[#This Row],[PMT NO]]&lt;&gt;"",PaymentSchedule43[[#This Row],[TOTAL PAYMENT]]-PaymentSchedule43[[#This Row],[INTEREST]],"")</f>
        <v>349.42499833156415</v>
      </c>
      <c r="I47" s="32">
        <f>IF(PaymentSchedule43[[#This Row],[PMT NO]]&lt;&gt;"",PaymentSchedule43[[#This Row],[BEGINNING BALANCE]]*(InterestRate/PaymentsPerYear),"")</f>
        <v>386.19933097674124</v>
      </c>
      <c r="J47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25397.19706678452</v>
      </c>
      <c r="K47" s="32">
        <f>IF(PaymentSchedule43[[#This Row],[PMT NO]]&lt;&gt;"",SUM(INDEX(PaymentSchedule43[INTEREST],1,1):PaymentSchedule43[[#This Row],[INTEREST]]),"")</f>
        <v>16144.048592575205</v>
      </c>
    </row>
    <row r="48" spans="2:11" x14ac:dyDescent="0.3">
      <c r="B48" s="30">
        <f>IF(LoanIsGood,IF(ROW()-ROW(PaymentSchedule43[[#Headers],[PMT NO]])&gt;ScheduledNumberOfPayments,"",ROW()-ROW(PaymentSchedule43[[#Headers],[PMT NO]])),"")</f>
        <v>36</v>
      </c>
      <c r="C48" s="31">
        <f>IF(PaymentSchedule43[[#This Row],[PMT NO]]&lt;&gt;"",EOMONTH(LoanStartDate,ROW(PaymentSchedule43[[#This Row],[PMT NO]])-ROW(PaymentSchedule43[[#Headers],[PMT NO]])-2)+DAY(LoanStartDate),"")</f>
        <v>44805</v>
      </c>
      <c r="D48" s="32">
        <f>IF(PaymentSchedule43[[#This Row],[PMT NO]]&lt;&gt;"",IF(ROW()-ROW(PaymentSchedule43[[#Headers],[BEGINNING BALANCE]])=1,LoanAmount,INDEX(PaymentSchedule43[ENDING BALANCE],ROW()-ROW(PaymentSchedule43[[#Headers],[BEGINNING BALANCE]])-1)),"")</f>
        <v>25397.19706678452</v>
      </c>
      <c r="E48" s="32">
        <f>IF(PaymentSchedule43[[#This Row],[PMT NO]]&lt;&gt;"",ScheduledPayment,"")</f>
        <v>735.62432930830539</v>
      </c>
      <c r="F48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48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48" s="32">
        <f>IF(PaymentSchedule43[[#This Row],[PMT NO]]&lt;&gt;"",PaymentSchedule43[[#This Row],[TOTAL PAYMENT]]-PaymentSchedule43[[#This Row],[INTEREST]],"")</f>
        <v>354.66637330653759</v>
      </c>
      <c r="I48" s="32">
        <f>IF(PaymentSchedule43[[#This Row],[PMT NO]]&lt;&gt;"",PaymentSchedule43[[#This Row],[BEGINNING BALANCE]]*(InterestRate/PaymentsPerYear),"")</f>
        <v>380.9579560017678</v>
      </c>
      <c r="J48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25042.530693477984</v>
      </c>
      <c r="K48" s="32">
        <f>IF(PaymentSchedule43[[#This Row],[PMT NO]]&lt;&gt;"",SUM(INDEX(PaymentSchedule43[INTEREST],1,1):PaymentSchedule43[[#This Row],[INTEREST]]),"")</f>
        <v>16525.006548576974</v>
      </c>
    </row>
    <row r="49" spans="2:11" x14ac:dyDescent="0.3">
      <c r="B49" s="30">
        <f>IF(LoanIsGood,IF(ROW()-ROW(PaymentSchedule43[[#Headers],[PMT NO]])&gt;ScheduledNumberOfPayments,"",ROW()-ROW(PaymentSchedule43[[#Headers],[PMT NO]])),"")</f>
        <v>37</v>
      </c>
      <c r="C49" s="31">
        <f>IF(PaymentSchedule43[[#This Row],[PMT NO]]&lt;&gt;"",EOMONTH(LoanStartDate,ROW(PaymentSchedule43[[#This Row],[PMT NO]])-ROW(PaymentSchedule43[[#Headers],[PMT NO]])-2)+DAY(LoanStartDate),"")</f>
        <v>44835</v>
      </c>
      <c r="D49" s="32">
        <f>IF(PaymentSchedule43[[#This Row],[PMT NO]]&lt;&gt;"",IF(ROW()-ROW(PaymentSchedule43[[#Headers],[BEGINNING BALANCE]])=1,LoanAmount,INDEX(PaymentSchedule43[ENDING BALANCE],ROW()-ROW(PaymentSchedule43[[#Headers],[BEGINNING BALANCE]])-1)),"")</f>
        <v>25042.530693477984</v>
      </c>
      <c r="E49" s="32">
        <f>IF(PaymentSchedule43[[#This Row],[PMT NO]]&lt;&gt;"",ScheduledPayment,"")</f>
        <v>735.62432930830539</v>
      </c>
      <c r="F49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49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49" s="32">
        <f>IF(PaymentSchedule43[[#This Row],[PMT NO]]&lt;&gt;"",PaymentSchedule43[[#This Row],[TOTAL PAYMENT]]-PaymentSchedule43[[#This Row],[INTEREST]],"")</f>
        <v>359.98636890613562</v>
      </c>
      <c r="I49" s="32">
        <f>IF(PaymentSchedule43[[#This Row],[PMT NO]]&lt;&gt;"",PaymentSchedule43[[#This Row],[BEGINNING BALANCE]]*(InterestRate/PaymentsPerYear),"")</f>
        <v>375.63796040216977</v>
      </c>
      <c r="J49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24682.544324571849</v>
      </c>
      <c r="K49" s="32">
        <f>IF(PaymentSchedule43[[#This Row],[PMT NO]]&lt;&gt;"",SUM(INDEX(PaymentSchedule43[INTEREST],1,1):PaymentSchedule43[[#This Row],[INTEREST]]),"")</f>
        <v>16900.644508979145</v>
      </c>
    </row>
    <row r="50" spans="2:11" x14ac:dyDescent="0.3">
      <c r="B50" s="30">
        <f>IF(LoanIsGood,IF(ROW()-ROW(PaymentSchedule43[[#Headers],[PMT NO]])&gt;ScheduledNumberOfPayments,"",ROW()-ROW(PaymentSchedule43[[#Headers],[PMT NO]])),"")</f>
        <v>38</v>
      </c>
      <c r="C50" s="31">
        <f>IF(PaymentSchedule43[[#This Row],[PMT NO]]&lt;&gt;"",EOMONTH(LoanStartDate,ROW(PaymentSchedule43[[#This Row],[PMT NO]])-ROW(PaymentSchedule43[[#Headers],[PMT NO]])-2)+DAY(LoanStartDate),"")</f>
        <v>44866</v>
      </c>
      <c r="D50" s="32">
        <f>IF(PaymentSchedule43[[#This Row],[PMT NO]]&lt;&gt;"",IF(ROW()-ROW(PaymentSchedule43[[#Headers],[BEGINNING BALANCE]])=1,LoanAmount,INDEX(PaymentSchedule43[ENDING BALANCE],ROW()-ROW(PaymentSchedule43[[#Headers],[BEGINNING BALANCE]])-1)),"")</f>
        <v>24682.544324571849</v>
      </c>
      <c r="E50" s="32">
        <f>IF(PaymentSchedule43[[#This Row],[PMT NO]]&lt;&gt;"",ScheduledPayment,"")</f>
        <v>735.62432930830539</v>
      </c>
      <c r="F50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50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50" s="32">
        <f>IF(PaymentSchedule43[[#This Row],[PMT NO]]&lt;&gt;"",PaymentSchedule43[[#This Row],[TOTAL PAYMENT]]-PaymentSchedule43[[#This Row],[INTEREST]],"")</f>
        <v>365.38616443972768</v>
      </c>
      <c r="I50" s="32">
        <f>IF(PaymentSchedule43[[#This Row],[PMT NO]]&lt;&gt;"",PaymentSchedule43[[#This Row],[BEGINNING BALANCE]]*(InterestRate/PaymentsPerYear),"")</f>
        <v>370.23816486857771</v>
      </c>
      <c r="J50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24317.15816013212</v>
      </c>
      <c r="K50" s="32">
        <f>IF(PaymentSchedule43[[#This Row],[PMT NO]]&lt;&gt;"",SUM(INDEX(PaymentSchedule43[INTEREST],1,1):PaymentSchedule43[[#This Row],[INTEREST]]),"")</f>
        <v>17270.882673847722</v>
      </c>
    </row>
    <row r="51" spans="2:11" x14ac:dyDescent="0.3">
      <c r="B51" s="30">
        <f>IF(LoanIsGood,IF(ROW()-ROW(PaymentSchedule43[[#Headers],[PMT NO]])&gt;ScheduledNumberOfPayments,"",ROW()-ROW(PaymentSchedule43[[#Headers],[PMT NO]])),"")</f>
        <v>39</v>
      </c>
      <c r="C51" s="31">
        <f>IF(PaymentSchedule43[[#This Row],[PMT NO]]&lt;&gt;"",EOMONTH(LoanStartDate,ROW(PaymentSchedule43[[#This Row],[PMT NO]])-ROW(PaymentSchedule43[[#Headers],[PMT NO]])-2)+DAY(LoanStartDate),"")</f>
        <v>44896</v>
      </c>
      <c r="D51" s="32">
        <f>IF(PaymentSchedule43[[#This Row],[PMT NO]]&lt;&gt;"",IF(ROW()-ROW(PaymentSchedule43[[#Headers],[BEGINNING BALANCE]])=1,LoanAmount,INDEX(PaymentSchedule43[ENDING BALANCE],ROW()-ROW(PaymentSchedule43[[#Headers],[BEGINNING BALANCE]])-1)),"")</f>
        <v>24317.15816013212</v>
      </c>
      <c r="E51" s="32">
        <f>IF(PaymentSchedule43[[#This Row],[PMT NO]]&lt;&gt;"",ScheduledPayment,"")</f>
        <v>735.62432930830539</v>
      </c>
      <c r="F51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51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51" s="32">
        <f>IF(PaymentSchedule43[[#This Row],[PMT NO]]&lt;&gt;"",PaymentSchedule43[[#This Row],[TOTAL PAYMENT]]-PaymentSchedule43[[#This Row],[INTEREST]],"")</f>
        <v>370.86695690632359</v>
      </c>
      <c r="I51" s="32">
        <f>IF(PaymentSchedule43[[#This Row],[PMT NO]]&lt;&gt;"",PaymentSchedule43[[#This Row],[BEGINNING BALANCE]]*(InterestRate/PaymentsPerYear),"")</f>
        <v>364.7573724019818</v>
      </c>
      <c r="J51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23946.291203225795</v>
      </c>
      <c r="K51" s="32">
        <f>IF(PaymentSchedule43[[#This Row],[PMT NO]]&lt;&gt;"",SUM(INDEX(PaymentSchedule43[INTEREST],1,1):PaymentSchedule43[[#This Row],[INTEREST]]),"")</f>
        <v>17635.640046249704</v>
      </c>
    </row>
    <row r="52" spans="2:11" x14ac:dyDescent="0.3">
      <c r="B52" s="30">
        <f>IF(LoanIsGood,IF(ROW()-ROW(PaymentSchedule43[[#Headers],[PMT NO]])&gt;ScheduledNumberOfPayments,"",ROW()-ROW(PaymentSchedule43[[#Headers],[PMT NO]])),"")</f>
        <v>40</v>
      </c>
      <c r="C52" s="31">
        <f>IF(PaymentSchedule43[[#This Row],[PMT NO]]&lt;&gt;"",EOMONTH(LoanStartDate,ROW(PaymentSchedule43[[#This Row],[PMT NO]])-ROW(PaymentSchedule43[[#Headers],[PMT NO]])-2)+DAY(LoanStartDate),"")</f>
        <v>44927</v>
      </c>
      <c r="D52" s="32">
        <f>IF(PaymentSchedule43[[#This Row],[PMT NO]]&lt;&gt;"",IF(ROW()-ROW(PaymentSchedule43[[#Headers],[BEGINNING BALANCE]])=1,LoanAmount,INDEX(PaymentSchedule43[ENDING BALANCE],ROW()-ROW(PaymentSchedule43[[#Headers],[BEGINNING BALANCE]])-1)),"")</f>
        <v>23946.291203225795</v>
      </c>
      <c r="E52" s="32">
        <f>IF(PaymentSchedule43[[#This Row],[PMT NO]]&lt;&gt;"",ScheduledPayment,"")</f>
        <v>735.62432930830539</v>
      </c>
      <c r="F52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52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52" s="32">
        <f>IF(PaymentSchedule43[[#This Row],[PMT NO]]&lt;&gt;"",PaymentSchedule43[[#This Row],[TOTAL PAYMENT]]-PaymentSchedule43[[#This Row],[INTEREST]],"")</f>
        <v>376.42996125991846</v>
      </c>
      <c r="I52" s="32">
        <f>IF(PaymentSchedule43[[#This Row],[PMT NO]]&lt;&gt;"",PaymentSchedule43[[#This Row],[BEGINNING BALANCE]]*(InterestRate/PaymentsPerYear),"")</f>
        <v>359.19436804838693</v>
      </c>
      <c r="J52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23569.861241965878</v>
      </c>
      <c r="K52" s="32">
        <f>IF(PaymentSchedule43[[#This Row],[PMT NO]]&lt;&gt;"",SUM(INDEX(PaymentSchedule43[INTEREST],1,1):PaymentSchedule43[[#This Row],[INTEREST]]),"")</f>
        <v>17994.83441429809</v>
      </c>
    </row>
    <row r="53" spans="2:11" x14ac:dyDescent="0.3">
      <c r="B53" s="30">
        <f>IF(LoanIsGood,IF(ROW()-ROW(PaymentSchedule43[[#Headers],[PMT NO]])&gt;ScheduledNumberOfPayments,"",ROW()-ROW(PaymentSchedule43[[#Headers],[PMT NO]])),"")</f>
        <v>41</v>
      </c>
      <c r="C53" s="31">
        <f>IF(PaymentSchedule43[[#This Row],[PMT NO]]&lt;&gt;"",EOMONTH(LoanStartDate,ROW(PaymentSchedule43[[#This Row],[PMT NO]])-ROW(PaymentSchedule43[[#Headers],[PMT NO]])-2)+DAY(LoanStartDate),"")</f>
        <v>44958</v>
      </c>
      <c r="D53" s="32">
        <f>IF(PaymentSchedule43[[#This Row],[PMT NO]]&lt;&gt;"",IF(ROW()-ROW(PaymentSchedule43[[#Headers],[BEGINNING BALANCE]])=1,LoanAmount,INDEX(PaymentSchedule43[ENDING BALANCE],ROW()-ROW(PaymentSchedule43[[#Headers],[BEGINNING BALANCE]])-1)),"")</f>
        <v>23569.861241965878</v>
      </c>
      <c r="E53" s="32">
        <f>IF(PaymentSchedule43[[#This Row],[PMT NO]]&lt;&gt;"",ScheduledPayment,"")</f>
        <v>735.62432930830539</v>
      </c>
      <c r="F53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53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53" s="32">
        <f>IF(PaymentSchedule43[[#This Row],[PMT NO]]&lt;&gt;"",PaymentSchedule43[[#This Row],[TOTAL PAYMENT]]-PaymentSchedule43[[#This Row],[INTEREST]],"")</f>
        <v>382.07641067881724</v>
      </c>
      <c r="I53" s="32">
        <f>IF(PaymentSchedule43[[#This Row],[PMT NO]]&lt;&gt;"",PaymentSchedule43[[#This Row],[BEGINNING BALANCE]]*(InterestRate/PaymentsPerYear),"")</f>
        <v>353.54791862948815</v>
      </c>
      <c r="J53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23187.784831287063</v>
      </c>
      <c r="K53" s="32">
        <f>IF(PaymentSchedule43[[#This Row],[PMT NO]]&lt;&gt;"",SUM(INDEX(PaymentSchedule43[INTEREST],1,1):PaymentSchedule43[[#This Row],[INTEREST]]),"")</f>
        <v>18348.382332927576</v>
      </c>
    </row>
    <row r="54" spans="2:11" x14ac:dyDescent="0.3">
      <c r="B54" s="30">
        <f>IF(LoanIsGood,IF(ROW()-ROW(PaymentSchedule43[[#Headers],[PMT NO]])&gt;ScheduledNumberOfPayments,"",ROW()-ROW(PaymentSchedule43[[#Headers],[PMT NO]])),"")</f>
        <v>42</v>
      </c>
      <c r="C54" s="31">
        <f>IF(PaymentSchedule43[[#This Row],[PMT NO]]&lt;&gt;"",EOMONTH(LoanStartDate,ROW(PaymentSchedule43[[#This Row],[PMT NO]])-ROW(PaymentSchedule43[[#Headers],[PMT NO]])-2)+DAY(LoanStartDate),"")</f>
        <v>44986</v>
      </c>
      <c r="D54" s="32">
        <f>IF(PaymentSchedule43[[#This Row],[PMT NO]]&lt;&gt;"",IF(ROW()-ROW(PaymentSchedule43[[#Headers],[BEGINNING BALANCE]])=1,LoanAmount,INDEX(PaymentSchedule43[ENDING BALANCE],ROW()-ROW(PaymentSchedule43[[#Headers],[BEGINNING BALANCE]])-1)),"")</f>
        <v>23187.784831287063</v>
      </c>
      <c r="E54" s="32">
        <f>IF(PaymentSchedule43[[#This Row],[PMT NO]]&lt;&gt;"",ScheduledPayment,"")</f>
        <v>735.62432930830539</v>
      </c>
      <c r="F54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54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54" s="32">
        <f>IF(PaymentSchedule43[[#This Row],[PMT NO]]&lt;&gt;"",PaymentSchedule43[[#This Row],[TOTAL PAYMENT]]-PaymentSchedule43[[#This Row],[INTEREST]],"")</f>
        <v>387.80755683899946</v>
      </c>
      <c r="I54" s="32">
        <f>IF(PaymentSchedule43[[#This Row],[PMT NO]]&lt;&gt;"",PaymentSchedule43[[#This Row],[BEGINNING BALANCE]]*(InterestRate/PaymentsPerYear),"")</f>
        <v>347.81677246930593</v>
      </c>
      <c r="J54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22799.977274448065</v>
      </c>
      <c r="K54" s="32">
        <f>IF(PaymentSchedule43[[#This Row],[PMT NO]]&lt;&gt;"",SUM(INDEX(PaymentSchedule43[INTEREST],1,1):PaymentSchedule43[[#This Row],[INTEREST]]),"")</f>
        <v>18696.199105396881</v>
      </c>
    </row>
    <row r="55" spans="2:11" x14ac:dyDescent="0.3">
      <c r="B55" s="30">
        <f>IF(LoanIsGood,IF(ROW()-ROW(PaymentSchedule43[[#Headers],[PMT NO]])&gt;ScheduledNumberOfPayments,"",ROW()-ROW(PaymentSchedule43[[#Headers],[PMT NO]])),"")</f>
        <v>43</v>
      </c>
      <c r="C55" s="31">
        <f>IF(PaymentSchedule43[[#This Row],[PMT NO]]&lt;&gt;"",EOMONTH(LoanStartDate,ROW(PaymentSchedule43[[#This Row],[PMT NO]])-ROW(PaymentSchedule43[[#Headers],[PMT NO]])-2)+DAY(LoanStartDate),"")</f>
        <v>45017</v>
      </c>
      <c r="D55" s="32">
        <f>IF(PaymentSchedule43[[#This Row],[PMT NO]]&lt;&gt;"",IF(ROW()-ROW(PaymentSchedule43[[#Headers],[BEGINNING BALANCE]])=1,LoanAmount,INDEX(PaymentSchedule43[ENDING BALANCE],ROW()-ROW(PaymentSchedule43[[#Headers],[BEGINNING BALANCE]])-1)),"")</f>
        <v>22799.977274448065</v>
      </c>
      <c r="E55" s="32">
        <f>IF(PaymentSchedule43[[#This Row],[PMT NO]]&lt;&gt;"",ScheduledPayment,"")</f>
        <v>735.62432930830539</v>
      </c>
      <c r="F55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55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55" s="32">
        <f>IF(PaymentSchedule43[[#This Row],[PMT NO]]&lt;&gt;"",PaymentSchedule43[[#This Row],[TOTAL PAYMENT]]-PaymentSchedule43[[#This Row],[INTEREST]],"")</f>
        <v>393.62467019158441</v>
      </c>
      <c r="I55" s="32">
        <f>IF(PaymentSchedule43[[#This Row],[PMT NO]]&lt;&gt;"",PaymentSchedule43[[#This Row],[BEGINNING BALANCE]]*(InterestRate/PaymentsPerYear),"")</f>
        <v>341.99965911672098</v>
      </c>
      <c r="J55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22406.352604256481</v>
      </c>
      <c r="K55" s="32">
        <f>IF(PaymentSchedule43[[#This Row],[PMT NO]]&lt;&gt;"",SUM(INDEX(PaymentSchedule43[INTEREST],1,1):PaymentSchedule43[[#This Row],[INTEREST]]),"")</f>
        <v>19038.198764513603</v>
      </c>
    </row>
    <row r="56" spans="2:11" x14ac:dyDescent="0.3">
      <c r="B56" s="30">
        <f>IF(LoanIsGood,IF(ROW()-ROW(PaymentSchedule43[[#Headers],[PMT NO]])&gt;ScheduledNumberOfPayments,"",ROW()-ROW(PaymentSchedule43[[#Headers],[PMT NO]])),"")</f>
        <v>44</v>
      </c>
      <c r="C56" s="31">
        <f>IF(PaymentSchedule43[[#This Row],[PMT NO]]&lt;&gt;"",EOMONTH(LoanStartDate,ROW(PaymentSchedule43[[#This Row],[PMT NO]])-ROW(PaymentSchedule43[[#Headers],[PMT NO]])-2)+DAY(LoanStartDate),"")</f>
        <v>45047</v>
      </c>
      <c r="D56" s="32">
        <f>IF(PaymentSchedule43[[#This Row],[PMT NO]]&lt;&gt;"",IF(ROW()-ROW(PaymentSchedule43[[#Headers],[BEGINNING BALANCE]])=1,LoanAmount,INDEX(PaymentSchedule43[ENDING BALANCE],ROW()-ROW(PaymentSchedule43[[#Headers],[BEGINNING BALANCE]])-1)),"")</f>
        <v>22406.352604256481</v>
      </c>
      <c r="E56" s="32">
        <f>IF(PaymentSchedule43[[#This Row],[PMT NO]]&lt;&gt;"",ScheduledPayment,"")</f>
        <v>735.62432930830539</v>
      </c>
      <c r="F56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56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56" s="32">
        <f>IF(PaymentSchedule43[[#This Row],[PMT NO]]&lt;&gt;"",PaymentSchedule43[[#This Row],[TOTAL PAYMENT]]-PaymentSchedule43[[#This Row],[INTEREST]],"")</f>
        <v>399.5290402444582</v>
      </c>
      <c r="I56" s="32">
        <f>IF(PaymentSchedule43[[#This Row],[PMT NO]]&lt;&gt;"",PaymentSchedule43[[#This Row],[BEGINNING BALANCE]]*(InterestRate/PaymentsPerYear),"")</f>
        <v>336.09528906384719</v>
      </c>
      <c r="J56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22006.823564012022</v>
      </c>
      <c r="K56" s="32">
        <f>IF(PaymentSchedule43[[#This Row],[PMT NO]]&lt;&gt;"",SUM(INDEX(PaymentSchedule43[INTEREST],1,1):PaymentSchedule43[[#This Row],[INTEREST]]),"")</f>
        <v>19374.294053577451</v>
      </c>
    </row>
    <row r="57" spans="2:11" x14ac:dyDescent="0.3">
      <c r="B57" s="30">
        <f>IF(LoanIsGood,IF(ROW()-ROW(PaymentSchedule43[[#Headers],[PMT NO]])&gt;ScheduledNumberOfPayments,"",ROW()-ROW(PaymentSchedule43[[#Headers],[PMT NO]])),"")</f>
        <v>45</v>
      </c>
      <c r="C57" s="31">
        <f>IF(PaymentSchedule43[[#This Row],[PMT NO]]&lt;&gt;"",EOMONTH(LoanStartDate,ROW(PaymentSchedule43[[#This Row],[PMT NO]])-ROW(PaymentSchedule43[[#Headers],[PMT NO]])-2)+DAY(LoanStartDate),"")</f>
        <v>45078</v>
      </c>
      <c r="D57" s="32">
        <f>IF(PaymentSchedule43[[#This Row],[PMT NO]]&lt;&gt;"",IF(ROW()-ROW(PaymentSchedule43[[#Headers],[BEGINNING BALANCE]])=1,LoanAmount,INDEX(PaymentSchedule43[ENDING BALANCE],ROW()-ROW(PaymentSchedule43[[#Headers],[BEGINNING BALANCE]])-1)),"")</f>
        <v>22006.823564012022</v>
      </c>
      <c r="E57" s="32">
        <f>IF(PaymentSchedule43[[#This Row],[PMT NO]]&lt;&gt;"",ScheduledPayment,"")</f>
        <v>735.62432930830539</v>
      </c>
      <c r="F57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57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57" s="32">
        <f>IF(PaymentSchedule43[[#This Row],[PMT NO]]&lt;&gt;"",PaymentSchedule43[[#This Row],[TOTAL PAYMENT]]-PaymentSchedule43[[#This Row],[INTEREST]],"")</f>
        <v>405.52197584812507</v>
      </c>
      <c r="I57" s="32">
        <f>IF(PaymentSchedule43[[#This Row],[PMT NO]]&lt;&gt;"",PaymentSchedule43[[#This Row],[BEGINNING BALANCE]]*(InterestRate/PaymentsPerYear),"")</f>
        <v>330.10235346018032</v>
      </c>
      <c r="J57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21601.301588163897</v>
      </c>
      <c r="K57" s="32">
        <f>IF(PaymentSchedule43[[#This Row],[PMT NO]]&lt;&gt;"",SUM(INDEX(PaymentSchedule43[INTEREST],1,1):PaymentSchedule43[[#This Row],[INTEREST]]),"")</f>
        <v>19704.396407037631</v>
      </c>
    </row>
    <row r="58" spans="2:11" x14ac:dyDescent="0.3">
      <c r="B58" s="30">
        <f>IF(LoanIsGood,IF(ROW()-ROW(PaymentSchedule43[[#Headers],[PMT NO]])&gt;ScheduledNumberOfPayments,"",ROW()-ROW(PaymentSchedule43[[#Headers],[PMT NO]])),"")</f>
        <v>46</v>
      </c>
      <c r="C58" s="31">
        <f>IF(PaymentSchedule43[[#This Row],[PMT NO]]&lt;&gt;"",EOMONTH(LoanStartDate,ROW(PaymentSchedule43[[#This Row],[PMT NO]])-ROW(PaymentSchedule43[[#Headers],[PMT NO]])-2)+DAY(LoanStartDate),"")</f>
        <v>45108</v>
      </c>
      <c r="D58" s="32">
        <f>IF(PaymentSchedule43[[#This Row],[PMT NO]]&lt;&gt;"",IF(ROW()-ROW(PaymentSchedule43[[#Headers],[BEGINNING BALANCE]])=1,LoanAmount,INDEX(PaymentSchedule43[ENDING BALANCE],ROW()-ROW(PaymentSchedule43[[#Headers],[BEGINNING BALANCE]])-1)),"")</f>
        <v>21601.301588163897</v>
      </c>
      <c r="E58" s="32">
        <f>IF(PaymentSchedule43[[#This Row],[PMT NO]]&lt;&gt;"",ScheduledPayment,"")</f>
        <v>735.62432930830539</v>
      </c>
      <c r="F58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58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58" s="32">
        <f>IF(PaymentSchedule43[[#This Row],[PMT NO]]&lt;&gt;"",PaymentSchedule43[[#This Row],[TOTAL PAYMENT]]-PaymentSchedule43[[#This Row],[INTEREST]],"")</f>
        <v>411.60480548584695</v>
      </c>
      <c r="I58" s="32">
        <f>IF(PaymentSchedule43[[#This Row],[PMT NO]]&lt;&gt;"",PaymentSchedule43[[#This Row],[BEGINNING BALANCE]]*(InterestRate/PaymentsPerYear),"")</f>
        <v>324.01952382245844</v>
      </c>
      <c r="J58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21189.696782678049</v>
      </c>
      <c r="K58" s="32">
        <f>IF(PaymentSchedule43[[#This Row],[PMT NO]]&lt;&gt;"",SUM(INDEX(PaymentSchedule43[INTEREST],1,1):PaymentSchedule43[[#This Row],[INTEREST]]),"")</f>
        <v>20028.41593086009</v>
      </c>
    </row>
    <row r="59" spans="2:11" x14ac:dyDescent="0.3">
      <c r="B59" s="30">
        <f>IF(LoanIsGood,IF(ROW()-ROW(PaymentSchedule43[[#Headers],[PMT NO]])&gt;ScheduledNumberOfPayments,"",ROW()-ROW(PaymentSchedule43[[#Headers],[PMT NO]])),"")</f>
        <v>47</v>
      </c>
      <c r="C59" s="31">
        <f>IF(PaymentSchedule43[[#This Row],[PMT NO]]&lt;&gt;"",EOMONTH(LoanStartDate,ROW(PaymentSchedule43[[#This Row],[PMT NO]])-ROW(PaymentSchedule43[[#Headers],[PMT NO]])-2)+DAY(LoanStartDate),"")</f>
        <v>45139</v>
      </c>
      <c r="D59" s="32">
        <f>IF(PaymentSchedule43[[#This Row],[PMT NO]]&lt;&gt;"",IF(ROW()-ROW(PaymentSchedule43[[#Headers],[BEGINNING BALANCE]])=1,LoanAmount,INDEX(PaymentSchedule43[ENDING BALANCE],ROW()-ROW(PaymentSchedule43[[#Headers],[BEGINNING BALANCE]])-1)),"")</f>
        <v>21189.696782678049</v>
      </c>
      <c r="E59" s="32">
        <f>IF(PaymentSchedule43[[#This Row],[PMT NO]]&lt;&gt;"",ScheduledPayment,"")</f>
        <v>735.62432930830539</v>
      </c>
      <c r="F59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59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59" s="32">
        <f>IF(PaymentSchedule43[[#This Row],[PMT NO]]&lt;&gt;"",PaymentSchedule43[[#This Row],[TOTAL PAYMENT]]-PaymentSchedule43[[#This Row],[INTEREST]],"")</f>
        <v>417.77887756813465</v>
      </c>
      <c r="I59" s="32">
        <f>IF(PaymentSchedule43[[#This Row],[PMT NO]]&lt;&gt;"",PaymentSchedule43[[#This Row],[BEGINNING BALANCE]]*(InterestRate/PaymentsPerYear),"")</f>
        <v>317.84545174017074</v>
      </c>
      <c r="J59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20771.917905109916</v>
      </c>
      <c r="K59" s="32">
        <f>IF(PaymentSchedule43[[#This Row],[PMT NO]]&lt;&gt;"",SUM(INDEX(PaymentSchedule43[INTEREST],1,1):PaymentSchedule43[[#This Row],[INTEREST]]),"")</f>
        <v>20346.26138260026</v>
      </c>
    </row>
    <row r="60" spans="2:11" x14ac:dyDescent="0.3">
      <c r="B60" s="30">
        <f>IF(LoanIsGood,IF(ROW()-ROW(PaymentSchedule43[[#Headers],[PMT NO]])&gt;ScheduledNumberOfPayments,"",ROW()-ROW(PaymentSchedule43[[#Headers],[PMT NO]])),"")</f>
        <v>48</v>
      </c>
      <c r="C60" s="31">
        <f>IF(PaymentSchedule43[[#This Row],[PMT NO]]&lt;&gt;"",EOMONTH(LoanStartDate,ROW(PaymentSchedule43[[#This Row],[PMT NO]])-ROW(PaymentSchedule43[[#Headers],[PMT NO]])-2)+DAY(LoanStartDate),"")</f>
        <v>45170</v>
      </c>
      <c r="D60" s="32">
        <f>IF(PaymentSchedule43[[#This Row],[PMT NO]]&lt;&gt;"",IF(ROW()-ROW(PaymentSchedule43[[#Headers],[BEGINNING BALANCE]])=1,LoanAmount,INDEX(PaymentSchedule43[ENDING BALANCE],ROW()-ROW(PaymentSchedule43[[#Headers],[BEGINNING BALANCE]])-1)),"")</f>
        <v>20771.917905109916</v>
      </c>
      <c r="E60" s="32">
        <f>IF(PaymentSchedule43[[#This Row],[PMT NO]]&lt;&gt;"",ScheduledPayment,"")</f>
        <v>735.62432930830539</v>
      </c>
      <c r="F60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60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60" s="32">
        <f>IF(PaymentSchedule43[[#This Row],[PMT NO]]&lt;&gt;"",PaymentSchedule43[[#This Row],[TOTAL PAYMENT]]-PaymentSchedule43[[#This Row],[INTEREST]],"")</f>
        <v>424.04556073165668</v>
      </c>
      <c r="I60" s="32">
        <f>IF(PaymentSchedule43[[#This Row],[PMT NO]]&lt;&gt;"",PaymentSchedule43[[#This Row],[BEGINNING BALANCE]]*(InterestRate/PaymentsPerYear),"")</f>
        <v>311.57876857664871</v>
      </c>
      <c r="J60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20347.872344378258</v>
      </c>
      <c r="K60" s="32">
        <f>IF(PaymentSchedule43[[#This Row],[PMT NO]]&lt;&gt;"",SUM(INDEX(PaymentSchedule43[INTEREST],1,1):PaymentSchedule43[[#This Row],[INTEREST]]),"")</f>
        <v>20657.840151176908</v>
      </c>
    </row>
    <row r="61" spans="2:11" x14ac:dyDescent="0.3">
      <c r="B61" s="30">
        <f>IF(LoanIsGood,IF(ROW()-ROW(PaymentSchedule43[[#Headers],[PMT NO]])&gt;ScheduledNumberOfPayments,"",ROW()-ROW(PaymentSchedule43[[#Headers],[PMT NO]])),"")</f>
        <v>49</v>
      </c>
      <c r="C61" s="31">
        <f>IF(PaymentSchedule43[[#This Row],[PMT NO]]&lt;&gt;"",EOMONTH(LoanStartDate,ROW(PaymentSchedule43[[#This Row],[PMT NO]])-ROW(PaymentSchedule43[[#Headers],[PMT NO]])-2)+DAY(LoanStartDate),"")</f>
        <v>45200</v>
      </c>
      <c r="D61" s="32">
        <f>IF(PaymentSchedule43[[#This Row],[PMT NO]]&lt;&gt;"",IF(ROW()-ROW(PaymentSchedule43[[#Headers],[BEGINNING BALANCE]])=1,LoanAmount,INDEX(PaymentSchedule43[ENDING BALANCE],ROW()-ROW(PaymentSchedule43[[#Headers],[BEGINNING BALANCE]])-1)),"")</f>
        <v>20347.872344378258</v>
      </c>
      <c r="E61" s="32">
        <f>IF(PaymentSchedule43[[#This Row],[PMT NO]]&lt;&gt;"",ScheduledPayment,"")</f>
        <v>735.62432930830539</v>
      </c>
      <c r="F61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61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61" s="32">
        <f>IF(PaymentSchedule43[[#This Row],[PMT NO]]&lt;&gt;"",PaymentSchedule43[[#This Row],[TOTAL PAYMENT]]-PaymentSchedule43[[#This Row],[INTEREST]],"")</f>
        <v>430.40624414263152</v>
      </c>
      <c r="I61" s="32">
        <f>IF(PaymentSchedule43[[#This Row],[PMT NO]]&lt;&gt;"",PaymentSchedule43[[#This Row],[BEGINNING BALANCE]]*(InterestRate/PaymentsPerYear),"")</f>
        <v>305.21808516567387</v>
      </c>
      <c r="J61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19917.466100235626</v>
      </c>
      <c r="K61" s="32">
        <f>IF(PaymentSchedule43[[#This Row],[PMT NO]]&lt;&gt;"",SUM(INDEX(PaymentSchedule43[INTEREST],1,1):PaymentSchedule43[[#This Row],[INTEREST]]),"")</f>
        <v>20963.058236342582</v>
      </c>
    </row>
    <row r="62" spans="2:11" x14ac:dyDescent="0.3">
      <c r="B62" s="30">
        <f>IF(LoanIsGood,IF(ROW()-ROW(PaymentSchedule43[[#Headers],[PMT NO]])&gt;ScheduledNumberOfPayments,"",ROW()-ROW(PaymentSchedule43[[#Headers],[PMT NO]])),"")</f>
        <v>50</v>
      </c>
      <c r="C62" s="31">
        <f>IF(PaymentSchedule43[[#This Row],[PMT NO]]&lt;&gt;"",EOMONTH(LoanStartDate,ROW(PaymentSchedule43[[#This Row],[PMT NO]])-ROW(PaymentSchedule43[[#Headers],[PMT NO]])-2)+DAY(LoanStartDate),"")</f>
        <v>45231</v>
      </c>
      <c r="D62" s="32">
        <f>IF(PaymentSchedule43[[#This Row],[PMT NO]]&lt;&gt;"",IF(ROW()-ROW(PaymentSchedule43[[#Headers],[BEGINNING BALANCE]])=1,LoanAmount,INDEX(PaymentSchedule43[ENDING BALANCE],ROW()-ROW(PaymentSchedule43[[#Headers],[BEGINNING BALANCE]])-1)),"")</f>
        <v>19917.466100235626</v>
      </c>
      <c r="E62" s="32">
        <f>IF(PaymentSchedule43[[#This Row],[PMT NO]]&lt;&gt;"",ScheduledPayment,"")</f>
        <v>735.62432930830539</v>
      </c>
      <c r="F62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62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62" s="32">
        <f>IF(PaymentSchedule43[[#This Row],[PMT NO]]&lt;&gt;"",PaymentSchedule43[[#This Row],[TOTAL PAYMENT]]-PaymentSchedule43[[#This Row],[INTEREST]],"")</f>
        <v>436.86233780477102</v>
      </c>
      <c r="I62" s="32">
        <f>IF(PaymentSchedule43[[#This Row],[PMT NO]]&lt;&gt;"",PaymentSchedule43[[#This Row],[BEGINNING BALANCE]]*(InterestRate/PaymentsPerYear),"")</f>
        <v>298.76199150353438</v>
      </c>
      <c r="J62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19480.603762430856</v>
      </c>
      <c r="K62" s="32">
        <f>IF(PaymentSchedule43[[#This Row],[PMT NO]]&lt;&gt;"",SUM(INDEX(PaymentSchedule43[INTEREST],1,1):PaymentSchedule43[[#This Row],[INTEREST]]),"")</f>
        <v>21261.820227846118</v>
      </c>
    </row>
    <row r="63" spans="2:11" x14ac:dyDescent="0.3">
      <c r="B63" s="30">
        <f>IF(LoanIsGood,IF(ROW()-ROW(PaymentSchedule43[[#Headers],[PMT NO]])&gt;ScheduledNumberOfPayments,"",ROW()-ROW(PaymentSchedule43[[#Headers],[PMT NO]])),"")</f>
        <v>51</v>
      </c>
      <c r="C63" s="31">
        <f>IF(PaymentSchedule43[[#This Row],[PMT NO]]&lt;&gt;"",EOMONTH(LoanStartDate,ROW(PaymentSchedule43[[#This Row],[PMT NO]])-ROW(PaymentSchedule43[[#Headers],[PMT NO]])-2)+DAY(LoanStartDate),"")</f>
        <v>45261</v>
      </c>
      <c r="D63" s="32">
        <f>IF(PaymentSchedule43[[#This Row],[PMT NO]]&lt;&gt;"",IF(ROW()-ROW(PaymentSchedule43[[#Headers],[BEGINNING BALANCE]])=1,LoanAmount,INDEX(PaymentSchedule43[ENDING BALANCE],ROW()-ROW(PaymentSchedule43[[#Headers],[BEGINNING BALANCE]])-1)),"")</f>
        <v>19480.603762430856</v>
      </c>
      <c r="E63" s="32">
        <f>IF(PaymentSchedule43[[#This Row],[PMT NO]]&lt;&gt;"",ScheduledPayment,"")</f>
        <v>735.62432930830539</v>
      </c>
      <c r="F63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63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63" s="32">
        <f>IF(PaymentSchedule43[[#This Row],[PMT NO]]&lt;&gt;"",PaymentSchedule43[[#This Row],[TOTAL PAYMENT]]-PaymentSchedule43[[#This Row],[INTEREST]],"")</f>
        <v>443.41527287184255</v>
      </c>
      <c r="I63" s="32">
        <f>IF(PaymentSchedule43[[#This Row],[PMT NO]]&lt;&gt;"",PaymentSchedule43[[#This Row],[BEGINNING BALANCE]]*(InterestRate/PaymentsPerYear),"")</f>
        <v>292.20905643646284</v>
      </c>
      <c r="J63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19037.188489559012</v>
      </c>
      <c r="K63" s="32">
        <f>IF(PaymentSchedule43[[#This Row],[PMT NO]]&lt;&gt;"",SUM(INDEX(PaymentSchedule43[INTEREST],1,1):PaymentSchedule43[[#This Row],[INTEREST]]),"")</f>
        <v>21554.02928428258</v>
      </c>
    </row>
    <row r="64" spans="2:11" x14ac:dyDescent="0.3">
      <c r="B64" s="30">
        <f>IF(LoanIsGood,IF(ROW()-ROW(PaymentSchedule43[[#Headers],[PMT NO]])&gt;ScheduledNumberOfPayments,"",ROW()-ROW(PaymentSchedule43[[#Headers],[PMT NO]])),"")</f>
        <v>52</v>
      </c>
      <c r="C64" s="31">
        <f>IF(PaymentSchedule43[[#This Row],[PMT NO]]&lt;&gt;"",EOMONTH(LoanStartDate,ROW(PaymentSchedule43[[#This Row],[PMT NO]])-ROW(PaymentSchedule43[[#Headers],[PMT NO]])-2)+DAY(LoanStartDate),"")</f>
        <v>45292</v>
      </c>
      <c r="D64" s="32">
        <f>IF(PaymentSchedule43[[#This Row],[PMT NO]]&lt;&gt;"",IF(ROW()-ROW(PaymentSchedule43[[#Headers],[BEGINNING BALANCE]])=1,LoanAmount,INDEX(PaymentSchedule43[ENDING BALANCE],ROW()-ROW(PaymentSchedule43[[#Headers],[BEGINNING BALANCE]])-1)),"")</f>
        <v>19037.188489559012</v>
      </c>
      <c r="E64" s="32">
        <f>IF(PaymentSchedule43[[#This Row],[PMT NO]]&lt;&gt;"",ScheduledPayment,"")</f>
        <v>735.62432930830539</v>
      </c>
      <c r="F64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64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64" s="32">
        <f>IF(PaymentSchedule43[[#This Row],[PMT NO]]&lt;&gt;"",PaymentSchedule43[[#This Row],[TOTAL PAYMENT]]-PaymentSchedule43[[#This Row],[INTEREST]],"")</f>
        <v>450.06650196492023</v>
      </c>
      <c r="I64" s="32">
        <f>IF(PaymentSchedule43[[#This Row],[PMT NO]]&lt;&gt;"",PaymentSchedule43[[#This Row],[BEGINNING BALANCE]]*(InterestRate/PaymentsPerYear),"")</f>
        <v>285.55782734338516</v>
      </c>
      <c r="J64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18587.121987594091</v>
      </c>
      <c r="K64" s="32">
        <f>IF(PaymentSchedule43[[#This Row],[PMT NO]]&lt;&gt;"",SUM(INDEX(PaymentSchedule43[INTEREST],1,1):PaymentSchedule43[[#This Row],[INTEREST]]),"")</f>
        <v>21839.587111625966</v>
      </c>
    </row>
    <row r="65" spans="2:11" x14ac:dyDescent="0.3">
      <c r="B65" s="30">
        <f>IF(LoanIsGood,IF(ROW()-ROW(PaymentSchedule43[[#Headers],[PMT NO]])&gt;ScheduledNumberOfPayments,"",ROW()-ROW(PaymentSchedule43[[#Headers],[PMT NO]])),"")</f>
        <v>53</v>
      </c>
      <c r="C65" s="31">
        <f>IF(PaymentSchedule43[[#This Row],[PMT NO]]&lt;&gt;"",EOMONTH(LoanStartDate,ROW(PaymentSchedule43[[#This Row],[PMT NO]])-ROW(PaymentSchedule43[[#Headers],[PMT NO]])-2)+DAY(LoanStartDate),"")</f>
        <v>45323</v>
      </c>
      <c r="D65" s="32">
        <f>IF(PaymentSchedule43[[#This Row],[PMT NO]]&lt;&gt;"",IF(ROW()-ROW(PaymentSchedule43[[#Headers],[BEGINNING BALANCE]])=1,LoanAmount,INDEX(PaymentSchedule43[ENDING BALANCE],ROW()-ROW(PaymentSchedule43[[#Headers],[BEGINNING BALANCE]])-1)),"")</f>
        <v>18587.121987594091</v>
      </c>
      <c r="E65" s="32">
        <f>IF(PaymentSchedule43[[#This Row],[PMT NO]]&lt;&gt;"",ScheduledPayment,"")</f>
        <v>735.62432930830539</v>
      </c>
      <c r="F65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65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65" s="32">
        <f>IF(PaymentSchedule43[[#This Row],[PMT NO]]&lt;&gt;"",PaymentSchedule43[[#This Row],[TOTAL PAYMENT]]-PaymentSchedule43[[#This Row],[INTEREST]],"")</f>
        <v>456.81749949439404</v>
      </c>
      <c r="I65" s="32">
        <f>IF(PaymentSchedule43[[#This Row],[PMT NO]]&lt;&gt;"",PaymentSchedule43[[#This Row],[BEGINNING BALANCE]]*(InterestRate/PaymentsPerYear),"")</f>
        <v>278.80682981391135</v>
      </c>
      <c r="J65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18130.304488099697</v>
      </c>
      <c r="K65" s="32">
        <f>IF(PaymentSchedule43[[#This Row],[PMT NO]]&lt;&gt;"",SUM(INDEX(PaymentSchedule43[INTEREST],1,1):PaymentSchedule43[[#This Row],[INTEREST]]),"")</f>
        <v>22118.393941439877</v>
      </c>
    </row>
    <row r="66" spans="2:11" x14ac:dyDescent="0.3">
      <c r="B66" s="30">
        <f>IF(LoanIsGood,IF(ROW()-ROW(PaymentSchedule43[[#Headers],[PMT NO]])&gt;ScheduledNumberOfPayments,"",ROW()-ROW(PaymentSchedule43[[#Headers],[PMT NO]])),"")</f>
        <v>54</v>
      </c>
      <c r="C66" s="31">
        <f>IF(PaymentSchedule43[[#This Row],[PMT NO]]&lt;&gt;"",EOMONTH(LoanStartDate,ROW(PaymentSchedule43[[#This Row],[PMT NO]])-ROW(PaymentSchedule43[[#Headers],[PMT NO]])-2)+DAY(LoanStartDate),"")</f>
        <v>45352</v>
      </c>
      <c r="D66" s="32">
        <f>IF(PaymentSchedule43[[#This Row],[PMT NO]]&lt;&gt;"",IF(ROW()-ROW(PaymentSchedule43[[#Headers],[BEGINNING BALANCE]])=1,LoanAmount,INDEX(PaymentSchedule43[ENDING BALANCE],ROW()-ROW(PaymentSchedule43[[#Headers],[BEGINNING BALANCE]])-1)),"")</f>
        <v>18130.304488099697</v>
      </c>
      <c r="E66" s="32">
        <f>IF(PaymentSchedule43[[#This Row],[PMT NO]]&lt;&gt;"",ScheduledPayment,"")</f>
        <v>735.62432930830539</v>
      </c>
      <c r="F66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66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66" s="32">
        <f>IF(PaymentSchedule43[[#This Row],[PMT NO]]&lt;&gt;"",PaymentSchedule43[[#This Row],[TOTAL PAYMENT]]-PaymentSchedule43[[#This Row],[INTEREST]],"")</f>
        <v>463.66976198680993</v>
      </c>
      <c r="I66" s="32">
        <f>IF(PaymentSchedule43[[#This Row],[PMT NO]]&lt;&gt;"",PaymentSchedule43[[#This Row],[BEGINNING BALANCE]]*(InterestRate/PaymentsPerYear),"")</f>
        <v>271.95456732149546</v>
      </c>
      <c r="J66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17666.634726112887</v>
      </c>
      <c r="K66" s="32">
        <f>IF(PaymentSchedule43[[#This Row],[PMT NO]]&lt;&gt;"",SUM(INDEX(PaymentSchedule43[INTEREST],1,1):PaymentSchedule43[[#This Row],[INTEREST]]),"")</f>
        <v>22390.348508761374</v>
      </c>
    </row>
    <row r="67" spans="2:11" x14ac:dyDescent="0.3">
      <c r="B67" s="30">
        <f>IF(LoanIsGood,IF(ROW()-ROW(PaymentSchedule43[[#Headers],[PMT NO]])&gt;ScheduledNumberOfPayments,"",ROW()-ROW(PaymentSchedule43[[#Headers],[PMT NO]])),"")</f>
        <v>55</v>
      </c>
      <c r="C67" s="31">
        <f>IF(PaymentSchedule43[[#This Row],[PMT NO]]&lt;&gt;"",EOMONTH(LoanStartDate,ROW(PaymentSchedule43[[#This Row],[PMT NO]])-ROW(PaymentSchedule43[[#Headers],[PMT NO]])-2)+DAY(LoanStartDate),"")</f>
        <v>45383</v>
      </c>
      <c r="D67" s="32">
        <f>IF(PaymentSchedule43[[#This Row],[PMT NO]]&lt;&gt;"",IF(ROW()-ROW(PaymentSchedule43[[#Headers],[BEGINNING BALANCE]])=1,LoanAmount,INDEX(PaymentSchedule43[ENDING BALANCE],ROW()-ROW(PaymentSchedule43[[#Headers],[BEGINNING BALANCE]])-1)),"")</f>
        <v>17666.634726112887</v>
      </c>
      <c r="E67" s="32">
        <f>IF(PaymentSchedule43[[#This Row],[PMT NO]]&lt;&gt;"",ScheduledPayment,"")</f>
        <v>735.62432930830539</v>
      </c>
      <c r="F67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67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67" s="32">
        <f>IF(PaymentSchedule43[[#This Row],[PMT NO]]&lt;&gt;"",PaymentSchedule43[[#This Row],[TOTAL PAYMENT]]-PaymentSchedule43[[#This Row],[INTEREST]],"")</f>
        <v>470.6248084166121</v>
      </c>
      <c r="I67" s="32">
        <f>IF(PaymentSchedule43[[#This Row],[PMT NO]]&lt;&gt;"",PaymentSchedule43[[#This Row],[BEGINNING BALANCE]]*(InterestRate/PaymentsPerYear),"")</f>
        <v>264.99952089169329</v>
      </c>
      <c r="J67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17196.009917696276</v>
      </c>
      <c r="K67" s="32">
        <f>IF(PaymentSchedule43[[#This Row],[PMT NO]]&lt;&gt;"",SUM(INDEX(PaymentSchedule43[INTEREST],1,1):PaymentSchedule43[[#This Row],[INTEREST]]),"")</f>
        <v>22655.348029653065</v>
      </c>
    </row>
    <row r="68" spans="2:11" x14ac:dyDescent="0.3">
      <c r="B68" s="30">
        <f>IF(LoanIsGood,IF(ROW()-ROW(PaymentSchedule43[[#Headers],[PMT NO]])&gt;ScheduledNumberOfPayments,"",ROW()-ROW(PaymentSchedule43[[#Headers],[PMT NO]])),"")</f>
        <v>56</v>
      </c>
      <c r="C68" s="31">
        <f>IF(PaymentSchedule43[[#This Row],[PMT NO]]&lt;&gt;"",EOMONTH(LoanStartDate,ROW(PaymentSchedule43[[#This Row],[PMT NO]])-ROW(PaymentSchedule43[[#Headers],[PMT NO]])-2)+DAY(LoanStartDate),"")</f>
        <v>45413</v>
      </c>
      <c r="D68" s="32">
        <f>IF(PaymentSchedule43[[#This Row],[PMT NO]]&lt;&gt;"",IF(ROW()-ROW(PaymentSchedule43[[#Headers],[BEGINNING BALANCE]])=1,LoanAmount,INDEX(PaymentSchedule43[ENDING BALANCE],ROW()-ROW(PaymentSchedule43[[#Headers],[BEGINNING BALANCE]])-1)),"")</f>
        <v>17196.009917696276</v>
      </c>
      <c r="E68" s="32">
        <f>IF(PaymentSchedule43[[#This Row],[PMT NO]]&lt;&gt;"",ScheduledPayment,"")</f>
        <v>735.62432930830539</v>
      </c>
      <c r="F68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68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68" s="32">
        <f>IF(PaymentSchedule43[[#This Row],[PMT NO]]&lt;&gt;"",PaymentSchedule43[[#This Row],[TOTAL PAYMENT]]-PaymentSchedule43[[#This Row],[INTEREST]],"")</f>
        <v>477.68418054286127</v>
      </c>
      <c r="I68" s="32">
        <f>IF(PaymentSchedule43[[#This Row],[PMT NO]]&lt;&gt;"",PaymentSchedule43[[#This Row],[BEGINNING BALANCE]]*(InterestRate/PaymentsPerYear),"")</f>
        <v>257.94014876544412</v>
      </c>
      <c r="J68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16718.325737153413</v>
      </c>
      <c r="K68" s="32">
        <f>IF(PaymentSchedule43[[#This Row],[PMT NO]]&lt;&gt;"",SUM(INDEX(PaymentSchedule43[INTEREST],1,1):PaymentSchedule43[[#This Row],[INTEREST]]),"")</f>
        <v>22913.288178418508</v>
      </c>
    </row>
    <row r="69" spans="2:11" x14ac:dyDescent="0.3">
      <c r="B69" s="30">
        <f>IF(LoanIsGood,IF(ROW()-ROW(PaymentSchedule43[[#Headers],[PMT NO]])&gt;ScheduledNumberOfPayments,"",ROW()-ROW(PaymentSchedule43[[#Headers],[PMT NO]])),"")</f>
        <v>57</v>
      </c>
      <c r="C69" s="31">
        <f>IF(PaymentSchedule43[[#This Row],[PMT NO]]&lt;&gt;"",EOMONTH(LoanStartDate,ROW(PaymentSchedule43[[#This Row],[PMT NO]])-ROW(PaymentSchedule43[[#Headers],[PMT NO]])-2)+DAY(LoanStartDate),"")</f>
        <v>45444</v>
      </c>
      <c r="D69" s="32">
        <f>IF(PaymentSchedule43[[#This Row],[PMT NO]]&lt;&gt;"",IF(ROW()-ROW(PaymentSchedule43[[#Headers],[BEGINNING BALANCE]])=1,LoanAmount,INDEX(PaymentSchedule43[ENDING BALANCE],ROW()-ROW(PaymentSchedule43[[#Headers],[BEGINNING BALANCE]])-1)),"")</f>
        <v>16718.325737153413</v>
      </c>
      <c r="E69" s="32">
        <f>IF(PaymentSchedule43[[#This Row],[PMT NO]]&lt;&gt;"",ScheduledPayment,"")</f>
        <v>735.62432930830539</v>
      </c>
      <c r="F69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69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69" s="32">
        <f>IF(PaymentSchedule43[[#This Row],[PMT NO]]&lt;&gt;"",PaymentSchedule43[[#This Row],[TOTAL PAYMENT]]-PaymentSchedule43[[#This Row],[INTEREST]],"")</f>
        <v>484.84944325100423</v>
      </c>
      <c r="I69" s="32">
        <f>IF(PaymentSchedule43[[#This Row],[PMT NO]]&lt;&gt;"",PaymentSchedule43[[#This Row],[BEGINNING BALANCE]]*(InterestRate/PaymentsPerYear),"")</f>
        <v>250.77488605730119</v>
      </c>
      <c r="J69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16233.476293902408</v>
      </c>
      <c r="K69" s="32">
        <f>IF(PaymentSchedule43[[#This Row],[PMT NO]]&lt;&gt;"",SUM(INDEX(PaymentSchedule43[INTEREST],1,1):PaymentSchedule43[[#This Row],[INTEREST]]),"")</f>
        <v>23164.063064475809</v>
      </c>
    </row>
    <row r="70" spans="2:11" x14ac:dyDescent="0.3">
      <c r="B70" s="30">
        <f>IF(LoanIsGood,IF(ROW()-ROW(PaymentSchedule43[[#Headers],[PMT NO]])&gt;ScheduledNumberOfPayments,"",ROW()-ROW(PaymentSchedule43[[#Headers],[PMT NO]])),"")</f>
        <v>58</v>
      </c>
      <c r="C70" s="31">
        <f>IF(PaymentSchedule43[[#This Row],[PMT NO]]&lt;&gt;"",EOMONTH(LoanStartDate,ROW(PaymentSchedule43[[#This Row],[PMT NO]])-ROW(PaymentSchedule43[[#Headers],[PMT NO]])-2)+DAY(LoanStartDate),"")</f>
        <v>45474</v>
      </c>
      <c r="D70" s="32">
        <f>IF(PaymentSchedule43[[#This Row],[PMT NO]]&lt;&gt;"",IF(ROW()-ROW(PaymentSchedule43[[#Headers],[BEGINNING BALANCE]])=1,LoanAmount,INDEX(PaymentSchedule43[ENDING BALANCE],ROW()-ROW(PaymentSchedule43[[#Headers],[BEGINNING BALANCE]])-1)),"")</f>
        <v>16233.476293902408</v>
      </c>
      <c r="E70" s="32">
        <f>IF(PaymentSchedule43[[#This Row],[PMT NO]]&lt;&gt;"",ScheduledPayment,"")</f>
        <v>735.62432930830539</v>
      </c>
      <c r="F70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70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70" s="32">
        <f>IF(PaymentSchedule43[[#This Row],[PMT NO]]&lt;&gt;"",PaymentSchedule43[[#This Row],[TOTAL PAYMENT]]-PaymentSchedule43[[#This Row],[INTEREST]],"")</f>
        <v>492.12218489976931</v>
      </c>
      <c r="I70" s="32">
        <f>IF(PaymentSchedule43[[#This Row],[PMT NO]]&lt;&gt;"",PaymentSchedule43[[#This Row],[BEGINNING BALANCE]]*(InterestRate/PaymentsPerYear),"")</f>
        <v>243.50214440853611</v>
      </c>
      <c r="J70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15741.354109002637</v>
      </c>
      <c r="K70" s="32">
        <f>IF(PaymentSchedule43[[#This Row],[PMT NO]]&lt;&gt;"",SUM(INDEX(PaymentSchedule43[INTEREST],1,1):PaymentSchedule43[[#This Row],[INTEREST]]),"")</f>
        <v>23407.565208884345</v>
      </c>
    </row>
    <row r="71" spans="2:11" x14ac:dyDescent="0.3">
      <c r="B71" s="30">
        <f>IF(LoanIsGood,IF(ROW()-ROW(PaymentSchedule43[[#Headers],[PMT NO]])&gt;ScheduledNumberOfPayments,"",ROW()-ROW(PaymentSchedule43[[#Headers],[PMT NO]])),"")</f>
        <v>59</v>
      </c>
      <c r="C71" s="31">
        <f>IF(PaymentSchedule43[[#This Row],[PMT NO]]&lt;&gt;"",EOMONTH(LoanStartDate,ROW(PaymentSchedule43[[#This Row],[PMT NO]])-ROW(PaymentSchedule43[[#Headers],[PMT NO]])-2)+DAY(LoanStartDate),"")</f>
        <v>45505</v>
      </c>
      <c r="D71" s="32">
        <f>IF(PaymentSchedule43[[#This Row],[PMT NO]]&lt;&gt;"",IF(ROW()-ROW(PaymentSchedule43[[#Headers],[BEGINNING BALANCE]])=1,LoanAmount,INDEX(PaymentSchedule43[ENDING BALANCE],ROW()-ROW(PaymentSchedule43[[#Headers],[BEGINNING BALANCE]])-1)),"")</f>
        <v>15741.354109002637</v>
      </c>
      <c r="E71" s="32">
        <f>IF(PaymentSchedule43[[#This Row],[PMT NO]]&lt;&gt;"",ScheduledPayment,"")</f>
        <v>735.62432930830539</v>
      </c>
      <c r="F71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71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71" s="32">
        <f>IF(PaymentSchedule43[[#This Row],[PMT NO]]&lt;&gt;"",PaymentSchedule43[[#This Row],[TOTAL PAYMENT]]-PaymentSchedule43[[#This Row],[INTEREST]],"")</f>
        <v>499.50401767326582</v>
      </c>
      <c r="I71" s="32">
        <f>IF(PaymentSchedule43[[#This Row],[PMT NO]]&lt;&gt;"",PaymentSchedule43[[#This Row],[BEGINNING BALANCE]]*(InterestRate/PaymentsPerYear),"")</f>
        <v>236.12031163503954</v>
      </c>
      <c r="J71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15241.850091329372</v>
      </c>
      <c r="K71" s="32">
        <f>IF(PaymentSchedule43[[#This Row],[PMT NO]]&lt;&gt;"",SUM(INDEX(PaymentSchedule43[INTEREST],1,1):PaymentSchedule43[[#This Row],[INTEREST]]),"")</f>
        <v>23643.685520519386</v>
      </c>
    </row>
    <row r="72" spans="2:11" x14ac:dyDescent="0.3">
      <c r="B72" s="30">
        <f>IF(LoanIsGood,IF(ROW()-ROW(PaymentSchedule43[[#Headers],[PMT NO]])&gt;ScheduledNumberOfPayments,"",ROW()-ROW(PaymentSchedule43[[#Headers],[PMT NO]])),"")</f>
        <v>60</v>
      </c>
      <c r="C72" s="31">
        <f>IF(PaymentSchedule43[[#This Row],[PMT NO]]&lt;&gt;"",EOMONTH(LoanStartDate,ROW(PaymentSchedule43[[#This Row],[PMT NO]])-ROW(PaymentSchedule43[[#Headers],[PMT NO]])-2)+DAY(LoanStartDate),"")</f>
        <v>45536</v>
      </c>
      <c r="D72" s="32">
        <f>IF(PaymentSchedule43[[#This Row],[PMT NO]]&lt;&gt;"",IF(ROW()-ROW(PaymentSchedule43[[#Headers],[BEGINNING BALANCE]])=1,LoanAmount,INDEX(PaymentSchedule43[ENDING BALANCE],ROW()-ROW(PaymentSchedule43[[#Headers],[BEGINNING BALANCE]])-1)),"")</f>
        <v>15241.850091329372</v>
      </c>
      <c r="E72" s="32">
        <f>IF(PaymentSchedule43[[#This Row],[PMT NO]]&lt;&gt;"",ScheduledPayment,"")</f>
        <v>735.62432930830539</v>
      </c>
      <c r="F72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72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72" s="32">
        <f>IF(PaymentSchedule43[[#This Row],[PMT NO]]&lt;&gt;"",PaymentSchedule43[[#This Row],[TOTAL PAYMENT]]-PaymentSchedule43[[#This Row],[INTEREST]],"")</f>
        <v>506.99657793836479</v>
      </c>
      <c r="I72" s="32">
        <f>IF(PaymentSchedule43[[#This Row],[PMT NO]]&lt;&gt;"",PaymentSchedule43[[#This Row],[BEGINNING BALANCE]]*(InterestRate/PaymentsPerYear),"")</f>
        <v>228.62775136994057</v>
      </c>
      <c r="J72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14734.853513391006</v>
      </c>
      <c r="K72" s="32">
        <f>IF(PaymentSchedule43[[#This Row],[PMT NO]]&lt;&gt;"",SUM(INDEX(PaymentSchedule43[INTEREST],1,1):PaymentSchedule43[[#This Row],[INTEREST]]),"")</f>
        <v>23872.313271889325</v>
      </c>
    </row>
    <row r="73" spans="2:11" x14ac:dyDescent="0.3">
      <c r="B73" s="30">
        <f>IF(LoanIsGood,IF(ROW()-ROW(PaymentSchedule43[[#Headers],[PMT NO]])&gt;ScheduledNumberOfPayments,"",ROW()-ROW(PaymentSchedule43[[#Headers],[PMT NO]])),"")</f>
        <v>61</v>
      </c>
      <c r="C73" s="31">
        <f>IF(PaymentSchedule43[[#This Row],[PMT NO]]&lt;&gt;"",EOMONTH(LoanStartDate,ROW(PaymentSchedule43[[#This Row],[PMT NO]])-ROW(PaymentSchedule43[[#Headers],[PMT NO]])-2)+DAY(LoanStartDate),"")</f>
        <v>45566</v>
      </c>
      <c r="D73" s="32">
        <f>IF(PaymentSchedule43[[#This Row],[PMT NO]]&lt;&gt;"",IF(ROW()-ROW(PaymentSchedule43[[#Headers],[BEGINNING BALANCE]])=1,LoanAmount,INDEX(PaymentSchedule43[ENDING BALANCE],ROW()-ROW(PaymentSchedule43[[#Headers],[BEGINNING BALANCE]])-1)),"")</f>
        <v>14734.853513391006</v>
      </c>
      <c r="E73" s="32">
        <f>IF(PaymentSchedule43[[#This Row],[PMT NO]]&lt;&gt;"",ScheduledPayment,"")</f>
        <v>735.62432930830539</v>
      </c>
      <c r="F73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73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73" s="32">
        <f>IF(PaymentSchedule43[[#This Row],[PMT NO]]&lt;&gt;"",PaymentSchedule43[[#This Row],[TOTAL PAYMENT]]-PaymentSchedule43[[#This Row],[INTEREST]],"")</f>
        <v>514.60152660744029</v>
      </c>
      <c r="I73" s="32">
        <f>IF(PaymentSchedule43[[#This Row],[PMT NO]]&lt;&gt;"",PaymentSchedule43[[#This Row],[BEGINNING BALANCE]]*(InterestRate/PaymentsPerYear),"")</f>
        <v>221.0228027008651</v>
      </c>
      <c r="J73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14220.251986783565</v>
      </c>
      <c r="K73" s="32">
        <f>IF(PaymentSchedule43[[#This Row],[PMT NO]]&lt;&gt;"",SUM(INDEX(PaymentSchedule43[INTEREST],1,1):PaymentSchedule43[[#This Row],[INTEREST]]),"")</f>
        <v>24093.336074590188</v>
      </c>
    </row>
    <row r="74" spans="2:11" x14ac:dyDescent="0.3">
      <c r="B74" s="30">
        <f>IF(LoanIsGood,IF(ROW()-ROW(PaymentSchedule43[[#Headers],[PMT NO]])&gt;ScheduledNumberOfPayments,"",ROW()-ROW(PaymentSchedule43[[#Headers],[PMT NO]])),"")</f>
        <v>62</v>
      </c>
      <c r="C74" s="31">
        <f>IF(PaymentSchedule43[[#This Row],[PMT NO]]&lt;&gt;"",EOMONTH(LoanStartDate,ROW(PaymentSchedule43[[#This Row],[PMT NO]])-ROW(PaymentSchedule43[[#Headers],[PMT NO]])-2)+DAY(LoanStartDate),"")</f>
        <v>45597</v>
      </c>
      <c r="D74" s="32">
        <f>IF(PaymentSchedule43[[#This Row],[PMT NO]]&lt;&gt;"",IF(ROW()-ROW(PaymentSchedule43[[#Headers],[BEGINNING BALANCE]])=1,LoanAmount,INDEX(PaymentSchedule43[ENDING BALANCE],ROW()-ROW(PaymentSchedule43[[#Headers],[BEGINNING BALANCE]])-1)),"")</f>
        <v>14220.251986783565</v>
      </c>
      <c r="E74" s="32">
        <f>IF(PaymentSchedule43[[#This Row],[PMT NO]]&lt;&gt;"",ScheduledPayment,"")</f>
        <v>735.62432930830539</v>
      </c>
      <c r="F74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74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74" s="32">
        <f>IF(PaymentSchedule43[[#This Row],[PMT NO]]&lt;&gt;"",PaymentSchedule43[[#This Row],[TOTAL PAYMENT]]-PaymentSchedule43[[#This Row],[INTEREST]],"")</f>
        <v>522.32054950655197</v>
      </c>
      <c r="I74" s="32">
        <f>IF(PaymentSchedule43[[#This Row],[PMT NO]]&lt;&gt;"",PaymentSchedule43[[#This Row],[BEGINNING BALANCE]]*(InterestRate/PaymentsPerYear),"")</f>
        <v>213.30377980175348</v>
      </c>
      <c r="J74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13697.931437277013</v>
      </c>
      <c r="K74" s="32">
        <f>IF(PaymentSchedule43[[#This Row],[PMT NO]]&lt;&gt;"",SUM(INDEX(PaymentSchedule43[INTEREST],1,1):PaymentSchedule43[[#This Row],[INTEREST]]),"")</f>
        <v>24306.639854391942</v>
      </c>
    </row>
    <row r="75" spans="2:11" x14ac:dyDescent="0.3">
      <c r="B75" s="30">
        <f>IF(LoanIsGood,IF(ROW()-ROW(PaymentSchedule43[[#Headers],[PMT NO]])&gt;ScheduledNumberOfPayments,"",ROW()-ROW(PaymentSchedule43[[#Headers],[PMT NO]])),"")</f>
        <v>63</v>
      </c>
      <c r="C75" s="31">
        <f>IF(PaymentSchedule43[[#This Row],[PMT NO]]&lt;&gt;"",EOMONTH(LoanStartDate,ROW(PaymentSchedule43[[#This Row],[PMT NO]])-ROW(PaymentSchedule43[[#Headers],[PMT NO]])-2)+DAY(LoanStartDate),"")</f>
        <v>45627</v>
      </c>
      <c r="D75" s="32">
        <f>IF(PaymentSchedule43[[#This Row],[PMT NO]]&lt;&gt;"",IF(ROW()-ROW(PaymentSchedule43[[#Headers],[BEGINNING BALANCE]])=1,LoanAmount,INDEX(PaymentSchedule43[ENDING BALANCE],ROW()-ROW(PaymentSchedule43[[#Headers],[BEGINNING BALANCE]])-1)),"")</f>
        <v>13697.931437277013</v>
      </c>
      <c r="E75" s="32">
        <f>IF(PaymentSchedule43[[#This Row],[PMT NO]]&lt;&gt;"",ScheduledPayment,"")</f>
        <v>735.62432930830539</v>
      </c>
      <c r="F75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75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75" s="32">
        <f>IF(PaymentSchedule43[[#This Row],[PMT NO]]&lt;&gt;"",PaymentSchedule43[[#This Row],[TOTAL PAYMENT]]-PaymentSchedule43[[#This Row],[INTEREST]],"")</f>
        <v>530.1553577491502</v>
      </c>
      <c r="I75" s="32">
        <f>IF(PaymentSchedule43[[#This Row],[PMT NO]]&lt;&gt;"",PaymentSchedule43[[#This Row],[BEGINNING BALANCE]]*(InterestRate/PaymentsPerYear),"")</f>
        <v>205.46897155915519</v>
      </c>
      <c r="J75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13167.776079527863</v>
      </c>
      <c r="K75" s="32">
        <f>IF(PaymentSchedule43[[#This Row],[PMT NO]]&lt;&gt;"",SUM(INDEX(PaymentSchedule43[INTEREST],1,1):PaymentSchedule43[[#This Row],[INTEREST]]),"")</f>
        <v>24512.108825951098</v>
      </c>
    </row>
    <row r="76" spans="2:11" x14ac:dyDescent="0.3">
      <c r="B76" s="30">
        <f>IF(LoanIsGood,IF(ROW()-ROW(PaymentSchedule43[[#Headers],[PMT NO]])&gt;ScheduledNumberOfPayments,"",ROW()-ROW(PaymentSchedule43[[#Headers],[PMT NO]])),"")</f>
        <v>64</v>
      </c>
      <c r="C76" s="31">
        <f>IF(PaymentSchedule43[[#This Row],[PMT NO]]&lt;&gt;"",EOMONTH(LoanStartDate,ROW(PaymentSchedule43[[#This Row],[PMT NO]])-ROW(PaymentSchedule43[[#Headers],[PMT NO]])-2)+DAY(LoanStartDate),"")</f>
        <v>45658</v>
      </c>
      <c r="D76" s="32">
        <f>IF(PaymentSchedule43[[#This Row],[PMT NO]]&lt;&gt;"",IF(ROW()-ROW(PaymentSchedule43[[#Headers],[BEGINNING BALANCE]])=1,LoanAmount,INDEX(PaymentSchedule43[ENDING BALANCE],ROW()-ROW(PaymentSchedule43[[#Headers],[BEGINNING BALANCE]])-1)),"")</f>
        <v>13167.776079527863</v>
      </c>
      <c r="E76" s="32">
        <f>IF(PaymentSchedule43[[#This Row],[PMT NO]]&lt;&gt;"",ScheduledPayment,"")</f>
        <v>735.62432930830539</v>
      </c>
      <c r="F76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76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76" s="32">
        <f>IF(PaymentSchedule43[[#This Row],[PMT NO]]&lt;&gt;"",PaymentSchedule43[[#This Row],[TOTAL PAYMENT]]-PaymentSchedule43[[#This Row],[INTEREST]],"")</f>
        <v>538.10768811538742</v>
      </c>
      <c r="I76" s="32">
        <f>IF(PaymentSchedule43[[#This Row],[PMT NO]]&lt;&gt;"",PaymentSchedule43[[#This Row],[BEGINNING BALANCE]]*(InterestRate/PaymentsPerYear),"")</f>
        <v>197.51664119291794</v>
      </c>
      <c r="J76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12629.668391412475</v>
      </c>
      <c r="K76" s="32">
        <f>IF(PaymentSchedule43[[#This Row],[PMT NO]]&lt;&gt;"",SUM(INDEX(PaymentSchedule43[INTEREST],1,1):PaymentSchedule43[[#This Row],[INTEREST]]),"")</f>
        <v>24709.625467144015</v>
      </c>
    </row>
    <row r="77" spans="2:11" x14ac:dyDescent="0.3">
      <c r="B77" s="30">
        <f>IF(LoanIsGood,IF(ROW()-ROW(PaymentSchedule43[[#Headers],[PMT NO]])&gt;ScheduledNumberOfPayments,"",ROW()-ROW(PaymentSchedule43[[#Headers],[PMT NO]])),"")</f>
        <v>65</v>
      </c>
      <c r="C77" s="31">
        <f>IF(PaymentSchedule43[[#This Row],[PMT NO]]&lt;&gt;"",EOMONTH(LoanStartDate,ROW(PaymentSchedule43[[#This Row],[PMT NO]])-ROW(PaymentSchedule43[[#Headers],[PMT NO]])-2)+DAY(LoanStartDate),"")</f>
        <v>45689</v>
      </c>
      <c r="D77" s="32">
        <f>IF(PaymentSchedule43[[#This Row],[PMT NO]]&lt;&gt;"",IF(ROW()-ROW(PaymentSchedule43[[#Headers],[BEGINNING BALANCE]])=1,LoanAmount,INDEX(PaymentSchedule43[ENDING BALANCE],ROW()-ROW(PaymentSchedule43[[#Headers],[BEGINNING BALANCE]])-1)),"")</f>
        <v>12629.668391412475</v>
      </c>
      <c r="E77" s="32">
        <f>IF(PaymentSchedule43[[#This Row],[PMT NO]]&lt;&gt;"",ScheduledPayment,"")</f>
        <v>735.62432930830539</v>
      </c>
      <c r="F77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77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77" s="32">
        <f>IF(PaymentSchedule43[[#This Row],[PMT NO]]&lt;&gt;"",PaymentSchedule43[[#This Row],[TOTAL PAYMENT]]-PaymentSchedule43[[#This Row],[INTEREST]],"")</f>
        <v>546.17930343711828</v>
      </c>
      <c r="I77" s="32">
        <f>IF(PaymentSchedule43[[#This Row],[PMT NO]]&lt;&gt;"",PaymentSchedule43[[#This Row],[BEGINNING BALANCE]]*(InterestRate/PaymentsPerYear),"")</f>
        <v>189.44502587118711</v>
      </c>
      <c r="J77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12083.489087975357</v>
      </c>
      <c r="K77" s="32">
        <f>IF(PaymentSchedule43[[#This Row],[PMT NO]]&lt;&gt;"",SUM(INDEX(PaymentSchedule43[INTEREST],1,1):PaymentSchedule43[[#This Row],[INTEREST]]),"")</f>
        <v>24899.070493015202</v>
      </c>
    </row>
    <row r="78" spans="2:11" x14ac:dyDescent="0.3">
      <c r="B78" s="30">
        <f>IF(LoanIsGood,IF(ROW()-ROW(PaymentSchedule43[[#Headers],[PMT NO]])&gt;ScheduledNumberOfPayments,"",ROW()-ROW(PaymentSchedule43[[#Headers],[PMT NO]])),"")</f>
        <v>66</v>
      </c>
      <c r="C78" s="31">
        <f>IF(PaymentSchedule43[[#This Row],[PMT NO]]&lt;&gt;"",EOMONTH(LoanStartDate,ROW(PaymentSchedule43[[#This Row],[PMT NO]])-ROW(PaymentSchedule43[[#Headers],[PMT NO]])-2)+DAY(LoanStartDate),"")</f>
        <v>45717</v>
      </c>
      <c r="D78" s="32">
        <f>IF(PaymentSchedule43[[#This Row],[PMT NO]]&lt;&gt;"",IF(ROW()-ROW(PaymentSchedule43[[#Headers],[BEGINNING BALANCE]])=1,LoanAmount,INDEX(PaymentSchedule43[ENDING BALANCE],ROW()-ROW(PaymentSchedule43[[#Headers],[BEGINNING BALANCE]])-1)),"")</f>
        <v>12083.489087975357</v>
      </c>
      <c r="E78" s="32">
        <f>IF(PaymentSchedule43[[#This Row],[PMT NO]]&lt;&gt;"",ScheduledPayment,"")</f>
        <v>735.62432930830539</v>
      </c>
      <c r="F78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78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78" s="32">
        <f>IF(PaymentSchedule43[[#This Row],[PMT NO]]&lt;&gt;"",PaymentSchedule43[[#This Row],[TOTAL PAYMENT]]-PaymentSchedule43[[#This Row],[INTEREST]],"")</f>
        <v>554.37199298867506</v>
      </c>
      <c r="I78" s="32">
        <f>IF(PaymentSchedule43[[#This Row],[PMT NO]]&lt;&gt;"",PaymentSchedule43[[#This Row],[BEGINNING BALANCE]]*(InterestRate/PaymentsPerYear),"")</f>
        <v>181.25233631963033</v>
      </c>
      <c r="J78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11529.117094986681</v>
      </c>
      <c r="K78" s="32">
        <f>IF(PaymentSchedule43[[#This Row],[PMT NO]]&lt;&gt;"",SUM(INDEX(PaymentSchedule43[INTEREST],1,1):PaymentSchedule43[[#This Row],[INTEREST]]),"")</f>
        <v>25080.322829334833</v>
      </c>
    </row>
    <row r="79" spans="2:11" x14ac:dyDescent="0.3">
      <c r="B79" s="30">
        <f>IF(LoanIsGood,IF(ROW()-ROW(PaymentSchedule43[[#Headers],[PMT NO]])&gt;ScheduledNumberOfPayments,"",ROW()-ROW(PaymentSchedule43[[#Headers],[PMT NO]])),"")</f>
        <v>67</v>
      </c>
      <c r="C79" s="31">
        <f>IF(PaymentSchedule43[[#This Row],[PMT NO]]&lt;&gt;"",EOMONTH(LoanStartDate,ROW(PaymentSchedule43[[#This Row],[PMT NO]])-ROW(PaymentSchedule43[[#Headers],[PMT NO]])-2)+DAY(LoanStartDate),"")</f>
        <v>45748</v>
      </c>
      <c r="D79" s="32">
        <f>IF(PaymentSchedule43[[#This Row],[PMT NO]]&lt;&gt;"",IF(ROW()-ROW(PaymentSchedule43[[#Headers],[BEGINNING BALANCE]])=1,LoanAmount,INDEX(PaymentSchedule43[ENDING BALANCE],ROW()-ROW(PaymentSchedule43[[#Headers],[BEGINNING BALANCE]])-1)),"")</f>
        <v>11529.117094986681</v>
      </c>
      <c r="E79" s="32">
        <f>IF(PaymentSchedule43[[#This Row],[PMT NO]]&lt;&gt;"",ScheduledPayment,"")</f>
        <v>735.62432930830539</v>
      </c>
      <c r="F79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79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79" s="32">
        <f>IF(PaymentSchedule43[[#This Row],[PMT NO]]&lt;&gt;"",PaymentSchedule43[[#This Row],[TOTAL PAYMENT]]-PaymentSchedule43[[#This Row],[INTEREST]],"")</f>
        <v>562.68757288350525</v>
      </c>
      <c r="I79" s="32">
        <f>IF(PaymentSchedule43[[#This Row],[PMT NO]]&lt;&gt;"",PaymentSchedule43[[#This Row],[BEGINNING BALANCE]]*(InterestRate/PaymentsPerYear),"")</f>
        <v>172.93675642480019</v>
      </c>
      <c r="J79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10966.429522103175</v>
      </c>
      <c r="K79" s="32">
        <f>IF(PaymentSchedule43[[#This Row],[PMT NO]]&lt;&gt;"",SUM(INDEX(PaymentSchedule43[INTEREST],1,1):PaymentSchedule43[[#This Row],[INTEREST]]),"")</f>
        <v>25253.259585759632</v>
      </c>
    </row>
    <row r="80" spans="2:11" x14ac:dyDescent="0.3">
      <c r="B80" s="30">
        <f>IF(LoanIsGood,IF(ROW()-ROW(PaymentSchedule43[[#Headers],[PMT NO]])&gt;ScheduledNumberOfPayments,"",ROW()-ROW(PaymentSchedule43[[#Headers],[PMT NO]])),"")</f>
        <v>68</v>
      </c>
      <c r="C80" s="31">
        <f>IF(PaymentSchedule43[[#This Row],[PMT NO]]&lt;&gt;"",EOMONTH(LoanStartDate,ROW(PaymentSchedule43[[#This Row],[PMT NO]])-ROW(PaymentSchedule43[[#Headers],[PMT NO]])-2)+DAY(LoanStartDate),"")</f>
        <v>45778</v>
      </c>
      <c r="D80" s="32">
        <f>IF(PaymentSchedule43[[#This Row],[PMT NO]]&lt;&gt;"",IF(ROW()-ROW(PaymentSchedule43[[#Headers],[BEGINNING BALANCE]])=1,LoanAmount,INDEX(PaymentSchedule43[ENDING BALANCE],ROW()-ROW(PaymentSchedule43[[#Headers],[BEGINNING BALANCE]])-1)),"")</f>
        <v>10966.429522103175</v>
      </c>
      <c r="E80" s="32">
        <f>IF(PaymentSchedule43[[#This Row],[PMT NO]]&lt;&gt;"",ScheduledPayment,"")</f>
        <v>735.62432930830539</v>
      </c>
      <c r="F80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80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80" s="32">
        <f>IF(PaymentSchedule43[[#This Row],[PMT NO]]&lt;&gt;"",PaymentSchedule43[[#This Row],[TOTAL PAYMENT]]-PaymentSchedule43[[#This Row],[INTEREST]],"")</f>
        <v>571.12788647675779</v>
      </c>
      <c r="I80" s="32">
        <f>IF(PaymentSchedule43[[#This Row],[PMT NO]]&lt;&gt;"",PaymentSchedule43[[#This Row],[BEGINNING BALANCE]]*(InterestRate/PaymentsPerYear),"")</f>
        <v>164.49644283154763</v>
      </c>
      <c r="J80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10395.301635626418</v>
      </c>
      <c r="K80" s="32">
        <f>IF(PaymentSchedule43[[#This Row],[PMT NO]]&lt;&gt;"",SUM(INDEX(PaymentSchedule43[INTEREST],1,1):PaymentSchedule43[[#This Row],[INTEREST]]),"")</f>
        <v>25417.756028591179</v>
      </c>
    </row>
    <row r="81" spans="2:11" x14ac:dyDescent="0.3">
      <c r="B81" s="30">
        <f>IF(LoanIsGood,IF(ROW()-ROW(PaymentSchedule43[[#Headers],[PMT NO]])&gt;ScheduledNumberOfPayments,"",ROW()-ROW(PaymentSchedule43[[#Headers],[PMT NO]])),"")</f>
        <v>69</v>
      </c>
      <c r="C81" s="31">
        <f>IF(PaymentSchedule43[[#This Row],[PMT NO]]&lt;&gt;"",EOMONTH(LoanStartDate,ROW(PaymentSchedule43[[#This Row],[PMT NO]])-ROW(PaymentSchedule43[[#Headers],[PMT NO]])-2)+DAY(LoanStartDate),"")</f>
        <v>45809</v>
      </c>
      <c r="D81" s="32">
        <f>IF(PaymentSchedule43[[#This Row],[PMT NO]]&lt;&gt;"",IF(ROW()-ROW(PaymentSchedule43[[#Headers],[BEGINNING BALANCE]])=1,LoanAmount,INDEX(PaymentSchedule43[ENDING BALANCE],ROW()-ROW(PaymentSchedule43[[#Headers],[BEGINNING BALANCE]])-1)),"")</f>
        <v>10395.301635626418</v>
      </c>
      <c r="E81" s="32">
        <f>IF(PaymentSchedule43[[#This Row],[PMT NO]]&lt;&gt;"",ScheduledPayment,"")</f>
        <v>735.62432930830539</v>
      </c>
      <c r="F81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81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81" s="32">
        <f>IF(PaymentSchedule43[[#This Row],[PMT NO]]&lt;&gt;"",PaymentSchedule43[[#This Row],[TOTAL PAYMENT]]-PaymentSchedule43[[#This Row],[INTEREST]],"")</f>
        <v>579.69480477390914</v>
      </c>
      <c r="I81" s="32">
        <f>IF(PaymentSchedule43[[#This Row],[PMT NO]]&lt;&gt;"",PaymentSchedule43[[#This Row],[BEGINNING BALANCE]]*(InterestRate/PaymentsPerYear),"")</f>
        <v>155.92952453439625</v>
      </c>
      <c r="J81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9815.6068308525082</v>
      </c>
      <c r="K81" s="32">
        <f>IF(PaymentSchedule43[[#This Row],[PMT NO]]&lt;&gt;"",SUM(INDEX(PaymentSchedule43[INTEREST],1,1):PaymentSchedule43[[#This Row],[INTEREST]]),"")</f>
        <v>25573.685553125575</v>
      </c>
    </row>
    <row r="82" spans="2:11" x14ac:dyDescent="0.3">
      <c r="B82" s="30">
        <f>IF(LoanIsGood,IF(ROW()-ROW(PaymentSchedule43[[#Headers],[PMT NO]])&gt;ScheduledNumberOfPayments,"",ROW()-ROW(PaymentSchedule43[[#Headers],[PMT NO]])),"")</f>
        <v>70</v>
      </c>
      <c r="C82" s="31">
        <f>IF(PaymentSchedule43[[#This Row],[PMT NO]]&lt;&gt;"",EOMONTH(LoanStartDate,ROW(PaymentSchedule43[[#This Row],[PMT NO]])-ROW(PaymentSchedule43[[#Headers],[PMT NO]])-2)+DAY(LoanStartDate),"")</f>
        <v>45839</v>
      </c>
      <c r="D82" s="32">
        <f>IF(PaymentSchedule43[[#This Row],[PMT NO]]&lt;&gt;"",IF(ROW()-ROW(PaymentSchedule43[[#Headers],[BEGINNING BALANCE]])=1,LoanAmount,INDEX(PaymentSchedule43[ENDING BALANCE],ROW()-ROW(PaymentSchedule43[[#Headers],[BEGINNING BALANCE]])-1)),"")</f>
        <v>9815.6068308525082</v>
      </c>
      <c r="E82" s="32">
        <f>IF(PaymentSchedule43[[#This Row],[PMT NO]]&lt;&gt;"",ScheduledPayment,"")</f>
        <v>735.62432930830539</v>
      </c>
      <c r="F82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82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82" s="32">
        <f>IF(PaymentSchedule43[[#This Row],[PMT NO]]&lt;&gt;"",PaymentSchedule43[[#This Row],[TOTAL PAYMENT]]-PaymentSchedule43[[#This Row],[INTEREST]],"")</f>
        <v>588.39022684551776</v>
      </c>
      <c r="I82" s="32">
        <f>IF(PaymentSchedule43[[#This Row],[PMT NO]]&lt;&gt;"",PaymentSchedule43[[#This Row],[BEGINNING BALANCE]]*(InterestRate/PaymentsPerYear),"")</f>
        <v>147.2341024627876</v>
      </c>
      <c r="J82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9227.2166040069897</v>
      </c>
      <c r="K82" s="32">
        <f>IF(PaymentSchedule43[[#This Row],[PMT NO]]&lt;&gt;"",SUM(INDEX(PaymentSchedule43[INTEREST],1,1):PaymentSchedule43[[#This Row],[INTEREST]]),"")</f>
        <v>25720.919655588361</v>
      </c>
    </row>
    <row r="83" spans="2:11" x14ac:dyDescent="0.3">
      <c r="B83" s="30">
        <f>IF(LoanIsGood,IF(ROW()-ROW(PaymentSchedule43[[#Headers],[PMT NO]])&gt;ScheduledNumberOfPayments,"",ROW()-ROW(PaymentSchedule43[[#Headers],[PMT NO]])),"")</f>
        <v>71</v>
      </c>
      <c r="C83" s="31">
        <f>IF(PaymentSchedule43[[#This Row],[PMT NO]]&lt;&gt;"",EOMONTH(LoanStartDate,ROW(PaymentSchedule43[[#This Row],[PMT NO]])-ROW(PaymentSchedule43[[#Headers],[PMT NO]])-2)+DAY(LoanStartDate),"")</f>
        <v>45870</v>
      </c>
      <c r="D83" s="32">
        <f>IF(PaymentSchedule43[[#This Row],[PMT NO]]&lt;&gt;"",IF(ROW()-ROW(PaymentSchedule43[[#Headers],[BEGINNING BALANCE]])=1,LoanAmount,INDEX(PaymentSchedule43[ENDING BALANCE],ROW()-ROW(PaymentSchedule43[[#Headers],[BEGINNING BALANCE]])-1)),"")</f>
        <v>9227.2166040069897</v>
      </c>
      <c r="E83" s="32">
        <f>IF(PaymentSchedule43[[#This Row],[PMT NO]]&lt;&gt;"",ScheduledPayment,"")</f>
        <v>735.62432930830539</v>
      </c>
      <c r="F83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83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83" s="32">
        <f>IF(PaymentSchedule43[[#This Row],[PMT NO]]&lt;&gt;"",PaymentSchedule43[[#This Row],[TOTAL PAYMENT]]-PaymentSchedule43[[#This Row],[INTEREST]],"")</f>
        <v>597.21608024820057</v>
      </c>
      <c r="I83" s="32">
        <f>IF(PaymentSchedule43[[#This Row],[PMT NO]]&lt;&gt;"",PaymentSchedule43[[#This Row],[BEGINNING BALANCE]]*(InterestRate/PaymentsPerYear),"")</f>
        <v>138.40824906010485</v>
      </c>
      <c r="J83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8630.0005237587884</v>
      </c>
      <c r="K83" s="32">
        <f>IF(PaymentSchedule43[[#This Row],[PMT NO]]&lt;&gt;"",SUM(INDEX(PaymentSchedule43[INTEREST],1,1):PaymentSchedule43[[#This Row],[INTEREST]]),"")</f>
        <v>25859.327904648464</v>
      </c>
    </row>
    <row r="84" spans="2:11" x14ac:dyDescent="0.3">
      <c r="B84" s="30">
        <f>IF(LoanIsGood,IF(ROW()-ROW(PaymentSchedule43[[#Headers],[PMT NO]])&gt;ScheduledNumberOfPayments,"",ROW()-ROW(PaymentSchedule43[[#Headers],[PMT NO]])),"")</f>
        <v>72</v>
      </c>
      <c r="C84" s="31">
        <f>IF(PaymentSchedule43[[#This Row],[PMT NO]]&lt;&gt;"",EOMONTH(LoanStartDate,ROW(PaymentSchedule43[[#This Row],[PMT NO]])-ROW(PaymentSchedule43[[#Headers],[PMT NO]])-2)+DAY(LoanStartDate),"")</f>
        <v>45901</v>
      </c>
      <c r="D84" s="32">
        <f>IF(PaymentSchedule43[[#This Row],[PMT NO]]&lt;&gt;"",IF(ROW()-ROW(PaymentSchedule43[[#Headers],[BEGINNING BALANCE]])=1,LoanAmount,INDEX(PaymentSchedule43[ENDING BALANCE],ROW()-ROW(PaymentSchedule43[[#Headers],[BEGINNING BALANCE]])-1)),"")</f>
        <v>8630.0005237587884</v>
      </c>
      <c r="E84" s="32">
        <f>IF(PaymentSchedule43[[#This Row],[PMT NO]]&lt;&gt;"",ScheduledPayment,"")</f>
        <v>735.62432930830539</v>
      </c>
      <c r="F84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84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84" s="32">
        <f>IF(PaymentSchedule43[[#This Row],[PMT NO]]&lt;&gt;"",PaymentSchedule43[[#This Row],[TOTAL PAYMENT]]-PaymentSchedule43[[#This Row],[INTEREST]],"")</f>
        <v>606.17432145192356</v>
      </c>
      <c r="I84" s="32">
        <f>IF(PaymentSchedule43[[#This Row],[PMT NO]]&lt;&gt;"",PaymentSchedule43[[#This Row],[BEGINNING BALANCE]]*(InterestRate/PaymentsPerYear),"")</f>
        <v>129.45000785638183</v>
      </c>
      <c r="J84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8023.8262023068646</v>
      </c>
      <c r="K84" s="32">
        <f>IF(PaymentSchedule43[[#This Row],[PMT NO]]&lt;&gt;"",SUM(INDEX(PaymentSchedule43[INTEREST],1,1):PaymentSchedule43[[#This Row],[INTEREST]]),"")</f>
        <v>25988.777912504847</v>
      </c>
    </row>
    <row r="85" spans="2:11" x14ac:dyDescent="0.3">
      <c r="B85" s="30">
        <f>IF(LoanIsGood,IF(ROW()-ROW(PaymentSchedule43[[#Headers],[PMT NO]])&gt;ScheduledNumberOfPayments,"",ROW()-ROW(PaymentSchedule43[[#Headers],[PMT NO]])),"")</f>
        <v>73</v>
      </c>
      <c r="C85" s="31">
        <f>IF(PaymentSchedule43[[#This Row],[PMT NO]]&lt;&gt;"",EOMONTH(LoanStartDate,ROW(PaymentSchedule43[[#This Row],[PMT NO]])-ROW(PaymentSchedule43[[#Headers],[PMT NO]])-2)+DAY(LoanStartDate),"")</f>
        <v>45931</v>
      </c>
      <c r="D85" s="32">
        <f>IF(PaymentSchedule43[[#This Row],[PMT NO]]&lt;&gt;"",IF(ROW()-ROW(PaymentSchedule43[[#Headers],[BEGINNING BALANCE]])=1,LoanAmount,INDEX(PaymentSchedule43[ENDING BALANCE],ROW()-ROW(PaymentSchedule43[[#Headers],[BEGINNING BALANCE]])-1)),"")</f>
        <v>8023.8262023068646</v>
      </c>
      <c r="E85" s="32">
        <f>IF(PaymentSchedule43[[#This Row],[PMT NO]]&lt;&gt;"",ScheduledPayment,"")</f>
        <v>735.62432930830539</v>
      </c>
      <c r="F85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85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85" s="32">
        <f>IF(PaymentSchedule43[[#This Row],[PMT NO]]&lt;&gt;"",PaymentSchedule43[[#This Row],[TOTAL PAYMENT]]-PaymentSchedule43[[#This Row],[INTEREST]],"")</f>
        <v>615.26693627370241</v>
      </c>
      <c r="I85" s="32">
        <f>IF(PaymentSchedule43[[#This Row],[PMT NO]]&lt;&gt;"",PaymentSchedule43[[#This Row],[BEGINNING BALANCE]]*(InterestRate/PaymentsPerYear),"")</f>
        <v>120.35739303460296</v>
      </c>
      <c r="J85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7408.5592660331622</v>
      </c>
      <c r="K85" s="32">
        <f>IF(PaymentSchedule43[[#This Row],[PMT NO]]&lt;&gt;"",SUM(INDEX(PaymentSchedule43[INTEREST],1,1):PaymentSchedule43[[#This Row],[INTEREST]]),"")</f>
        <v>26109.13530553945</v>
      </c>
    </row>
    <row r="86" spans="2:11" x14ac:dyDescent="0.3">
      <c r="B86" s="30">
        <f>IF(LoanIsGood,IF(ROW()-ROW(PaymentSchedule43[[#Headers],[PMT NO]])&gt;ScheduledNumberOfPayments,"",ROW()-ROW(PaymentSchedule43[[#Headers],[PMT NO]])),"")</f>
        <v>74</v>
      </c>
      <c r="C86" s="31">
        <f>IF(PaymentSchedule43[[#This Row],[PMT NO]]&lt;&gt;"",EOMONTH(LoanStartDate,ROW(PaymentSchedule43[[#This Row],[PMT NO]])-ROW(PaymentSchedule43[[#Headers],[PMT NO]])-2)+DAY(LoanStartDate),"")</f>
        <v>45962</v>
      </c>
      <c r="D86" s="32">
        <f>IF(PaymentSchedule43[[#This Row],[PMT NO]]&lt;&gt;"",IF(ROW()-ROW(PaymentSchedule43[[#Headers],[BEGINNING BALANCE]])=1,LoanAmount,INDEX(PaymentSchedule43[ENDING BALANCE],ROW()-ROW(PaymentSchedule43[[#Headers],[BEGINNING BALANCE]])-1)),"")</f>
        <v>7408.5592660331622</v>
      </c>
      <c r="E86" s="32">
        <f>IF(PaymentSchedule43[[#This Row],[PMT NO]]&lt;&gt;"",ScheduledPayment,"")</f>
        <v>735.62432930830539</v>
      </c>
      <c r="F86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86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86" s="32">
        <f>IF(PaymentSchedule43[[#This Row],[PMT NO]]&lt;&gt;"",PaymentSchedule43[[#This Row],[TOTAL PAYMENT]]-PaymentSchedule43[[#This Row],[INTEREST]],"")</f>
        <v>624.49594031780794</v>
      </c>
      <c r="I86" s="32">
        <f>IF(PaymentSchedule43[[#This Row],[PMT NO]]&lt;&gt;"",PaymentSchedule43[[#This Row],[BEGINNING BALANCE]]*(InterestRate/PaymentsPerYear),"")</f>
        <v>111.12838899049743</v>
      </c>
      <c r="J86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6784.063325715354</v>
      </c>
      <c r="K86" s="32">
        <f>IF(PaymentSchedule43[[#This Row],[PMT NO]]&lt;&gt;"",SUM(INDEX(PaymentSchedule43[INTEREST],1,1):PaymentSchedule43[[#This Row],[INTEREST]]),"")</f>
        <v>26220.263694529949</v>
      </c>
    </row>
    <row r="87" spans="2:11" x14ac:dyDescent="0.3">
      <c r="B87" s="30">
        <f>IF(LoanIsGood,IF(ROW()-ROW(PaymentSchedule43[[#Headers],[PMT NO]])&gt;ScheduledNumberOfPayments,"",ROW()-ROW(PaymentSchedule43[[#Headers],[PMT NO]])),"")</f>
        <v>75</v>
      </c>
      <c r="C87" s="31">
        <f>IF(PaymentSchedule43[[#This Row],[PMT NO]]&lt;&gt;"",EOMONTH(LoanStartDate,ROW(PaymentSchedule43[[#This Row],[PMT NO]])-ROW(PaymentSchedule43[[#Headers],[PMT NO]])-2)+DAY(LoanStartDate),"")</f>
        <v>45992</v>
      </c>
      <c r="D87" s="32">
        <f>IF(PaymentSchedule43[[#This Row],[PMT NO]]&lt;&gt;"",IF(ROW()-ROW(PaymentSchedule43[[#Headers],[BEGINNING BALANCE]])=1,LoanAmount,INDEX(PaymentSchedule43[ENDING BALANCE],ROW()-ROW(PaymentSchedule43[[#Headers],[BEGINNING BALANCE]])-1)),"")</f>
        <v>6784.063325715354</v>
      </c>
      <c r="E87" s="32">
        <f>IF(PaymentSchedule43[[#This Row],[PMT NO]]&lt;&gt;"",ScheduledPayment,"")</f>
        <v>735.62432930830539</v>
      </c>
      <c r="F87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87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87" s="32">
        <f>IF(PaymentSchedule43[[#This Row],[PMT NO]]&lt;&gt;"",PaymentSchedule43[[#This Row],[TOTAL PAYMENT]]-PaymentSchedule43[[#This Row],[INTEREST]],"")</f>
        <v>633.86337942257512</v>
      </c>
      <c r="I87" s="32">
        <f>IF(PaymentSchedule43[[#This Row],[PMT NO]]&lt;&gt;"",PaymentSchedule43[[#This Row],[BEGINNING BALANCE]]*(InterestRate/PaymentsPerYear),"")</f>
        <v>101.76094988573031</v>
      </c>
      <c r="J87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6150.1999462927788</v>
      </c>
      <c r="K87" s="32">
        <f>IF(PaymentSchedule43[[#This Row],[PMT NO]]&lt;&gt;"",SUM(INDEX(PaymentSchedule43[INTEREST],1,1):PaymentSchedule43[[#This Row],[INTEREST]]),"")</f>
        <v>26322.02464441568</v>
      </c>
    </row>
    <row r="88" spans="2:11" x14ac:dyDescent="0.3">
      <c r="B88" s="30">
        <f>IF(LoanIsGood,IF(ROW()-ROW(PaymentSchedule43[[#Headers],[PMT NO]])&gt;ScheduledNumberOfPayments,"",ROW()-ROW(PaymentSchedule43[[#Headers],[PMT NO]])),"")</f>
        <v>76</v>
      </c>
      <c r="C88" s="31">
        <f>IF(PaymentSchedule43[[#This Row],[PMT NO]]&lt;&gt;"",EOMONTH(LoanStartDate,ROW(PaymentSchedule43[[#This Row],[PMT NO]])-ROW(PaymentSchedule43[[#Headers],[PMT NO]])-2)+DAY(LoanStartDate),"")</f>
        <v>46023</v>
      </c>
      <c r="D88" s="32">
        <f>IF(PaymentSchedule43[[#This Row],[PMT NO]]&lt;&gt;"",IF(ROW()-ROW(PaymentSchedule43[[#Headers],[BEGINNING BALANCE]])=1,LoanAmount,INDEX(PaymentSchedule43[ENDING BALANCE],ROW()-ROW(PaymentSchedule43[[#Headers],[BEGINNING BALANCE]])-1)),"")</f>
        <v>6150.1999462927788</v>
      </c>
      <c r="E88" s="32">
        <f>IF(PaymentSchedule43[[#This Row],[PMT NO]]&lt;&gt;"",ScheduledPayment,"")</f>
        <v>735.62432930830539</v>
      </c>
      <c r="F88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88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88" s="32">
        <f>IF(PaymentSchedule43[[#This Row],[PMT NO]]&lt;&gt;"",PaymentSchedule43[[#This Row],[TOTAL PAYMENT]]-PaymentSchedule43[[#This Row],[INTEREST]],"")</f>
        <v>643.3713301139137</v>
      </c>
      <c r="I88" s="32">
        <f>IF(PaymentSchedule43[[#This Row],[PMT NO]]&lt;&gt;"",PaymentSchedule43[[#This Row],[BEGINNING BALANCE]]*(InterestRate/PaymentsPerYear),"")</f>
        <v>92.252999194391677</v>
      </c>
      <c r="J88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5506.8286161788656</v>
      </c>
      <c r="K88" s="32">
        <f>IF(PaymentSchedule43[[#This Row],[PMT NO]]&lt;&gt;"",SUM(INDEX(PaymentSchedule43[INTEREST],1,1):PaymentSchedule43[[#This Row],[INTEREST]]),"")</f>
        <v>26414.277643610072</v>
      </c>
    </row>
    <row r="89" spans="2:11" x14ac:dyDescent="0.3">
      <c r="B89" s="30">
        <f>IF(LoanIsGood,IF(ROW()-ROW(PaymentSchedule43[[#Headers],[PMT NO]])&gt;ScheduledNumberOfPayments,"",ROW()-ROW(PaymentSchedule43[[#Headers],[PMT NO]])),"")</f>
        <v>77</v>
      </c>
      <c r="C89" s="31">
        <f>IF(PaymentSchedule43[[#This Row],[PMT NO]]&lt;&gt;"",EOMONTH(LoanStartDate,ROW(PaymentSchedule43[[#This Row],[PMT NO]])-ROW(PaymentSchedule43[[#Headers],[PMT NO]])-2)+DAY(LoanStartDate),"")</f>
        <v>46054</v>
      </c>
      <c r="D89" s="32">
        <f>IF(PaymentSchedule43[[#This Row],[PMT NO]]&lt;&gt;"",IF(ROW()-ROW(PaymentSchedule43[[#Headers],[BEGINNING BALANCE]])=1,LoanAmount,INDEX(PaymentSchedule43[ENDING BALANCE],ROW()-ROW(PaymentSchedule43[[#Headers],[BEGINNING BALANCE]])-1)),"")</f>
        <v>5506.8286161788656</v>
      </c>
      <c r="E89" s="32">
        <f>IF(PaymentSchedule43[[#This Row],[PMT NO]]&lt;&gt;"",ScheduledPayment,"")</f>
        <v>735.62432930830539</v>
      </c>
      <c r="F89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89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89" s="32">
        <f>IF(PaymentSchedule43[[#This Row],[PMT NO]]&lt;&gt;"",PaymentSchedule43[[#This Row],[TOTAL PAYMENT]]-PaymentSchedule43[[#This Row],[INTEREST]],"")</f>
        <v>653.02190006562239</v>
      </c>
      <c r="I89" s="32">
        <f>IF(PaymentSchedule43[[#This Row],[PMT NO]]&lt;&gt;"",PaymentSchedule43[[#This Row],[BEGINNING BALANCE]]*(InterestRate/PaymentsPerYear),"")</f>
        <v>82.602429242682987</v>
      </c>
      <c r="J89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4853.8067161132431</v>
      </c>
      <c r="K89" s="32">
        <f>IF(PaymentSchedule43[[#This Row],[PMT NO]]&lt;&gt;"",SUM(INDEX(PaymentSchedule43[INTEREST],1,1):PaymentSchedule43[[#This Row],[INTEREST]]),"")</f>
        <v>26496.880072852757</v>
      </c>
    </row>
    <row r="90" spans="2:11" x14ac:dyDescent="0.3">
      <c r="B90" s="30">
        <f>IF(LoanIsGood,IF(ROW()-ROW(PaymentSchedule43[[#Headers],[PMT NO]])&gt;ScheduledNumberOfPayments,"",ROW()-ROW(PaymentSchedule43[[#Headers],[PMT NO]])),"")</f>
        <v>78</v>
      </c>
      <c r="C90" s="31">
        <f>IF(PaymentSchedule43[[#This Row],[PMT NO]]&lt;&gt;"",EOMONTH(LoanStartDate,ROW(PaymentSchedule43[[#This Row],[PMT NO]])-ROW(PaymentSchedule43[[#Headers],[PMT NO]])-2)+DAY(LoanStartDate),"")</f>
        <v>46082</v>
      </c>
      <c r="D90" s="32">
        <f>IF(PaymentSchedule43[[#This Row],[PMT NO]]&lt;&gt;"",IF(ROW()-ROW(PaymentSchedule43[[#Headers],[BEGINNING BALANCE]])=1,LoanAmount,INDEX(PaymentSchedule43[ENDING BALANCE],ROW()-ROW(PaymentSchedule43[[#Headers],[BEGINNING BALANCE]])-1)),"")</f>
        <v>4853.8067161132431</v>
      </c>
      <c r="E90" s="32">
        <f>IF(PaymentSchedule43[[#This Row],[PMT NO]]&lt;&gt;"",ScheduledPayment,"")</f>
        <v>735.62432930830539</v>
      </c>
      <c r="F90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90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90" s="32">
        <f>IF(PaymentSchedule43[[#This Row],[PMT NO]]&lt;&gt;"",PaymentSchedule43[[#This Row],[TOTAL PAYMENT]]-PaymentSchedule43[[#This Row],[INTEREST]],"")</f>
        <v>662.81722856660679</v>
      </c>
      <c r="I90" s="32">
        <f>IF(PaymentSchedule43[[#This Row],[PMT NO]]&lt;&gt;"",PaymentSchedule43[[#This Row],[BEGINNING BALANCE]]*(InterestRate/PaymentsPerYear),"")</f>
        <v>72.807100741698648</v>
      </c>
      <c r="J90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4190.9894875466362</v>
      </c>
      <c r="K90" s="32">
        <f>IF(PaymentSchedule43[[#This Row],[PMT NO]]&lt;&gt;"",SUM(INDEX(PaymentSchedule43[INTEREST],1,1):PaymentSchedule43[[#This Row],[INTEREST]]),"")</f>
        <v>26569.687173594455</v>
      </c>
    </row>
    <row r="91" spans="2:11" x14ac:dyDescent="0.3">
      <c r="B91" s="30">
        <f>IF(LoanIsGood,IF(ROW()-ROW(PaymentSchedule43[[#Headers],[PMT NO]])&gt;ScheduledNumberOfPayments,"",ROW()-ROW(PaymentSchedule43[[#Headers],[PMT NO]])),"")</f>
        <v>79</v>
      </c>
      <c r="C91" s="31">
        <f>IF(PaymentSchedule43[[#This Row],[PMT NO]]&lt;&gt;"",EOMONTH(LoanStartDate,ROW(PaymentSchedule43[[#This Row],[PMT NO]])-ROW(PaymentSchedule43[[#Headers],[PMT NO]])-2)+DAY(LoanStartDate),"")</f>
        <v>46113</v>
      </c>
      <c r="D91" s="32">
        <f>IF(PaymentSchedule43[[#This Row],[PMT NO]]&lt;&gt;"",IF(ROW()-ROW(PaymentSchedule43[[#Headers],[BEGINNING BALANCE]])=1,LoanAmount,INDEX(PaymentSchedule43[ENDING BALANCE],ROW()-ROW(PaymentSchedule43[[#Headers],[BEGINNING BALANCE]])-1)),"")</f>
        <v>4190.9894875466362</v>
      </c>
      <c r="E91" s="32">
        <f>IF(PaymentSchedule43[[#This Row],[PMT NO]]&lt;&gt;"",ScheduledPayment,"")</f>
        <v>735.62432930830539</v>
      </c>
      <c r="F91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91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91" s="32">
        <f>IF(PaymentSchedule43[[#This Row],[PMT NO]]&lt;&gt;"",PaymentSchedule43[[#This Row],[TOTAL PAYMENT]]-PaymentSchedule43[[#This Row],[INTEREST]],"")</f>
        <v>672.75948699510582</v>
      </c>
      <c r="I91" s="32">
        <f>IF(PaymentSchedule43[[#This Row],[PMT NO]]&lt;&gt;"",PaymentSchedule43[[#This Row],[BEGINNING BALANCE]]*(InterestRate/PaymentsPerYear),"")</f>
        <v>62.864842313199539</v>
      </c>
      <c r="J91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3518.2300005515303</v>
      </c>
      <c r="K91" s="32">
        <f>IF(PaymentSchedule43[[#This Row],[PMT NO]]&lt;&gt;"",SUM(INDEX(PaymentSchedule43[INTEREST],1,1):PaymentSchedule43[[#This Row],[INTEREST]]),"")</f>
        <v>26632.552015907655</v>
      </c>
    </row>
    <row r="92" spans="2:11" x14ac:dyDescent="0.3">
      <c r="B92" s="30">
        <f>IF(LoanIsGood,IF(ROW()-ROW(PaymentSchedule43[[#Headers],[PMT NO]])&gt;ScheduledNumberOfPayments,"",ROW()-ROW(PaymentSchedule43[[#Headers],[PMT NO]])),"")</f>
        <v>80</v>
      </c>
      <c r="C92" s="31">
        <f>IF(PaymentSchedule43[[#This Row],[PMT NO]]&lt;&gt;"",EOMONTH(LoanStartDate,ROW(PaymentSchedule43[[#This Row],[PMT NO]])-ROW(PaymentSchedule43[[#Headers],[PMT NO]])-2)+DAY(LoanStartDate),"")</f>
        <v>46143</v>
      </c>
      <c r="D92" s="32">
        <f>IF(PaymentSchedule43[[#This Row],[PMT NO]]&lt;&gt;"",IF(ROW()-ROW(PaymentSchedule43[[#Headers],[BEGINNING BALANCE]])=1,LoanAmount,INDEX(PaymentSchedule43[ENDING BALANCE],ROW()-ROW(PaymentSchedule43[[#Headers],[BEGINNING BALANCE]])-1)),"")</f>
        <v>3518.2300005515303</v>
      </c>
      <c r="E92" s="32">
        <f>IF(PaymentSchedule43[[#This Row],[PMT NO]]&lt;&gt;"",ScheduledPayment,"")</f>
        <v>735.62432930830539</v>
      </c>
      <c r="F92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92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92" s="32">
        <f>IF(PaymentSchedule43[[#This Row],[PMT NO]]&lt;&gt;"",PaymentSchedule43[[#This Row],[TOTAL PAYMENT]]-PaymentSchedule43[[#This Row],[INTEREST]],"")</f>
        <v>682.85087930003249</v>
      </c>
      <c r="I92" s="32">
        <f>IF(PaymentSchedule43[[#This Row],[PMT NO]]&lt;&gt;"",PaymentSchedule43[[#This Row],[BEGINNING BALANCE]]*(InterestRate/PaymentsPerYear),"")</f>
        <v>52.773450008272953</v>
      </c>
      <c r="J92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2835.379121251498</v>
      </c>
      <c r="K92" s="32">
        <f>IF(PaymentSchedule43[[#This Row],[PMT NO]]&lt;&gt;"",SUM(INDEX(PaymentSchedule43[INTEREST],1,1):PaymentSchedule43[[#This Row],[INTEREST]]),"")</f>
        <v>26685.325465915928</v>
      </c>
    </row>
    <row r="93" spans="2:11" x14ac:dyDescent="0.3">
      <c r="B93" s="30">
        <f>IF(LoanIsGood,IF(ROW()-ROW(PaymentSchedule43[[#Headers],[PMT NO]])&gt;ScheduledNumberOfPayments,"",ROW()-ROW(PaymentSchedule43[[#Headers],[PMT NO]])),"")</f>
        <v>81</v>
      </c>
      <c r="C93" s="31">
        <f>IF(PaymentSchedule43[[#This Row],[PMT NO]]&lt;&gt;"",EOMONTH(LoanStartDate,ROW(PaymentSchedule43[[#This Row],[PMT NO]])-ROW(PaymentSchedule43[[#Headers],[PMT NO]])-2)+DAY(LoanStartDate),"")</f>
        <v>46174</v>
      </c>
      <c r="D93" s="32">
        <f>IF(PaymentSchedule43[[#This Row],[PMT NO]]&lt;&gt;"",IF(ROW()-ROW(PaymentSchedule43[[#Headers],[BEGINNING BALANCE]])=1,LoanAmount,INDEX(PaymentSchedule43[ENDING BALANCE],ROW()-ROW(PaymentSchedule43[[#Headers],[BEGINNING BALANCE]])-1)),"")</f>
        <v>2835.379121251498</v>
      </c>
      <c r="E93" s="32">
        <f>IF(PaymentSchedule43[[#This Row],[PMT NO]]&lt;&gt;"",ScheduledPayment,"")</f>
        <v>735.62432930830539</v>
      </c>
      <c r="F93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93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93" s="32">
        <f>IF(PaymentSchedule43[[#This Row],[PMT NO]]&lt;&gt;"",PaymentSchedule43[[#This Row],[TOTAL PAYMENT]]-PaymentSchedule43[[#This Row],[INTEREST]],"")</f>
        <v>693.09364248953295</v>
      </c>
      <c r="I93" s="32">
        <f>IF(PaymentSchedule43[[#This Row],[PMT NO]]&lt;&gt;"",PaymentSchedule43[[#This Row],[BEGINNING BALANCE]]*(InterestRate/PaymentsPerYear),"")</f>
        <v>42.530686818772466</v>
      </c>
      <c r="J93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2142.2854787619649</v>
      </c>
      <c r="K93" s="32">
        <f>IF(PaymentSchedule43[[#This Row],[PMT NO]]&lt;&gt;"",SUM(INDEX(PaymentSchedule43[INTEREST],1,1):PaymentSchedule43[[#This Row],[INTEREST]]),"")</f>
        <v>26727.856152734701</v>
      </c>
    </row>
    <row r="94" spans="2:11" x14ac:dyDescent="0.3">
      <c r="B94" s="30">
        <f>IF(LoanIsGood,IF(ROW()-ROW(PaymentSchedule43[[#Headers],[PMT NO]])&gt;ScheduledNumberOfPayments,"",ROW()-ROW(PaymentSchedule43[[#Headers],[PMT NO]])),"")</f>
        <v>82</v>
      </c>
      <c r="C94" s="31">
        <f>IF(PaymentSchedule43[[#This Row],[PMT NO]]&lt;&gt;"",EOMONTH(LoanStartDate,ROW(PaymentSchedule43[[#This Row],[PMT NO]])-ROW(PaymentSchedule43[[#Headers],[PMT NO]])-2)+DAY(LoanStartDate),"")</f>
        <v>46204</v>
      </c>
      <c r="D94" s="32">
        <f>IF(PaymentSchedule43[[#This Row],[PMT NO]]&lt;&gt;"",IF(ROW()-ROW(PaymentSchedule43[[#Headers],[BEGINNING BALANCE]])=1,LoanAmount,INDEX(PaymentSchedule43[ENDING BALANCE],ROW()-ROW(PaymentSchedule43[[#Headers],[BEGINNING BALANCE]])-1)),"")</f>
        <v>2142.2854787619649</v>
      </c>
      <c r="E94" s="32">
        <f>IF(PaymentSchedule43[[#This Row],[PMT NO]]&lt;&gt;"",ScheduledPayment,"")</f>
        <v>735.62432930830539</v>
      </c>
      <c r="F94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94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94" s="32">
        <f>IF(PaymentSchedule43[[#This Row],[PMT NO]]&lt;&gt;"",PaymentSchedule43[[#This Row],[TOTAL PAYMENT]]-PaymentSchedule43[[#This Row],[INTEREST]],"")</f>
        <v>703.49004712687588</v>
      </c>
      <c r="I94" s="32">
        <f>IF(PaymentSchedule43[[#This Row],[PMT NO]]&lt;&gt;"",PaymentSchedule43[[#This Row],[BEGINNING BALANCE]]*(InterestRate/PaymentsPerYear),"")</f>
        <v>32.134282181429469</v>
      </c>
      <c r="J94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1438.795431635089</v>
      </c>
      <c r="K94" s="32">
        <f>IF(PaymentSchedule43[[#This Row],[PMT NO]]&lt;&gt;"",SUM(INDEX(PaymentSchedule43[INTEREST],1,1):PaymentSchedule43[[#This Row],[INTEREST]]),"")</f>
        <v>26759.99043491613</v>
      </c>
    </row>
    <row r="95" spans="2:11" x14ac:dyDescent="0.3">
      <c r="B95" s="30">
        <f>IF(LoanIsGood,IF(ROW()-ROW(PaymentSchedule43[[#Headers],[PMT NO]])&gt;ScheduledNumberOfPayments,"",ROW()-ROW(PaymentSchedule43[[#Headers],[PMT NO]])),"")</f>
        <v>83</v>
      </c>
      <c r="C95" s="31">
        <f>IF(PaymentSchedule43[[#This Row],[PMT NO]]&lt;&gt;"",EOMONTH(LoanStartDate,ROW(PaymentSchedule43[[#This Row],[PMT NO]])-ROW(PaymentSchedule43[[#Headers],[PMT NO]])-2)+DAY(LoanStartDate),"")</f>
        <v>46235</v>
      </c>
      <c r="D95" s="32">
        <f>IF(PaymentSchedule43[[#This Row],[PMT NO]]&lt;&gt;"",IF(ROW()-ROW(PaymentSchedule43[[#Headers],[BEGINNING BALANCE]])=1,LoanAmount,INDEX(PaymentSchedule43[ENDING BALANCE],ROW()-ROW(PaymentSchedule43[[#Headers],[BEGINNING BALANCE]])-1)),"")</f>
        <v>1438.795431635089</v>
      </c>
      <c r="E95" s="32">
        <f>IF(PaymentSchedule43[[#This Row],[PMT NO]]&lt;&gt;"",ScheduledPayment,"")</f>
        <v>735.62432930830539</v>
      </c>
      <c r="F95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95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735.62432930830539</v>
      </c>
      <c r="H95" s="32">
        <f>IF(PaymentSchedule43[[#This Row],[PMT NO]]&lt;&gt;"",PaymentSchedule43[[#This Row],[TOTAL PAYMENT]]-PaymentSchedule43[[#This Row],[INTEREST]],"")</f>
        <v>714.04239783377909</v>
      </c>
      <c r="I95" s="32">
        <f>IF(PaymentSchedule43[[#This Row],[PMT NO]]&lt;&gt;"",PaymentSchedule43[[#This Row],[BEGINNING BALANCE]]*(InterestRate/PaymentsPerYear),"")</f>
        <v>21.581931474526336</v>
      </c>
      <c r="J95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724.75303380130993</v>
      </c>
      <c r="K95" s="32">
        <f>IF(PaymentSchedule43[[#This Row],[PMT NO]]&lt;&gt;"",SUM(INDEX(PaymentSchedule43[INTEREST],1,1):PaymentSchedule43[[#This Row],[INTEREST]]),"")</f>
        <v>26781.572366390657</v>
      </c>
    </row>
    <row r="96" spans="2:11" x14ac:dyDescent="0.3">
      <c r="B96" s="30">
        <f>IF(LoanIsGood,IF(ROW()-ROW(PaymentSchedule43[[#Headers],[PMT NO]])&gt;ScheduledNumberOfPayments,"",ROW()-ROW(PaymentSchedule43[[#Headers],[PMT NO]])),"")</f>
        <v>84</v>
      </c>
      <c r="C96" s="31">
        <f>IF(PaymentSchedule43[[#This Row],[PMT NO]]&lt;&gt;"",EOMONTH(LoanStartDate,ROW(PaymentSchedule43[[#This Row],[PMT NO]])-ROW(PaymentSchedule43[[#Headers],[PMT NO]])-2)+DAY(LoanStartDate),"")</f>
        <v>46266</v>
      </c>
      <c r="D96" s="32">
        <f>IF(PaymentSchedule43[[#This Row],[PMT NO]]&lt;&gt;"",IF(ROW()-ROW(PaymentSchedule43[[#Headers],[BEGINNING BALANCE]])=1,LoanAmount,INDEX(PaymentSchedule43[ENDING BALANCE],ROW()-ROW(PaymentSchedule43[[#Headers],[BEGINNING BALANCE]])-1)),"")</f>
        <v>724.75303380130993</v>
      </c>
      <c r="E96" s="32">
        <f>IF(PaymentSchedule43[[#This Row],[PMT NO]]&lt;&gt;"",ScheduledPayment,"")</f>
        <v>735.62432930830539</v>
      </c>
      <c r="F96" s="32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>0</v>
      </c>
      <c r="G96" s="32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>724.75303380130993</v>
      </c>
      <c r="H96" s="32">
        <f>IF(PaymentSchedule43[[#This Row],[PMT NO]]&lt;&gt;"",PaymentSchedule43[[#This Row],[TOTAL PAYMENT]]-PaymentSchedule43[[#This Row],[INTEREST]],"")</f>
        <v>713.88173829429024</v>
      </c>
      <c r="I96" s="32">
        <f>IF(PaymentSchedule43[[#This Row],[PMT NO]]&lt;&gt;"",PaymentSchedule43[[#This Row],[BEGINNING BALANCE]]*(InterestRate/PaymentsPerYear),"")</f>
        <v>10.871295507019649</v>
      </c>
      <c r="J96" s="32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>0</v>
      </c>
      <c r="K96" s="32">
        <f>IF(PaymentSchedule43[[#This Row],[PMT NO]]&lt;&gt;"",SUM(INDEX(PaymentSchedule43[INTEREST],1,1):PaymentSchedule43[[#This Row],[INTEREST]]),"")</f>
        <v>26792.443661897676</v>
      </c>
    </row>
    <row r="97" spans="2:11" x14ac:dyDescent="0.3">
      <c r="B97" s="30" t="str">
        <f>IF(LoanIsGood,IF(ROW()-ROW(PaymentSchedule43[[#Headers],[PMT NO]])&gt;ScheduledNumberOfPayments,"",ROW()-ROW(PaymentSchedule43[[#Headers],[PMT NO]])),"")</f>
        <v/>
      </c>
      <c r="C97" s="31" t="str">
        <f>IF(PaymentSchedule43[[#This Row],[PMT NO]]&lt;&gt;"",EOMONTH(LoanStartDate,ROW(PaymentSchedule43[[#This Row],[PMT NO]])-ROW(PaymentSchedule43[[#Headers],[PMT NO]])-2)+DAY(LoanStartDate),"")</f>
        <v/>
      </c>
      <c r="D9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97" s="32" t="str">
        <f>IF(PaymentSchedule43[[#This Row],[PMT NO]]&lt;&gt;"",ScheduledPayment,"")</f>
        <v/>
      </c>
      <c r="F9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9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97" s="32" t="str">
        <f>IF(PaymentSchedule43[[#This Row],[PMT NO]]&lt;&gt;"",PaymentSchedule43[[#This Row],[TOTAL PAYMENT]]-PaymentSchedule43[[#This Row],[INTEREST]],"")</f>
        <v/>
      </c>
      <c r="I97" s="32" t="str">
        <f>IF(PaymentSchedule43[[#This Row],[PMT NO]]&lt;&gt;"",PaymentSchedule43[[#This Row],[BEGINNING BALANCE]]*(InterestRate/PaymentsPerYear),"")</f>
        <v/>
      </c>
      <c r="J9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97" s="32" t="str">
        <f>IF(PaymentSchedule43[[#This Row],[PMT NO]]&lt;&gt;"",SUM(INDEX(PaymentSchedule43[INTEREST],1,1):PaymentSchedule43[[#This Row],[INTEREST]]),"")</f>
        <v/>
      </c>
    </row>
    <row r="98" spans="2:11" x14ac:dyDescent="0.3">
      <c r="B98" s="30" t="str">
        <f>IF(LoanIsGood,IF(ROW()-ROW(PaymentSchedule43[[#Headers],[PMT NO]])&gt;ScheduledNumberOfPayments,"",ROW()-ROW(PaymentSchedule43[[#Headers],[PMT NO]])),"")</f>
        <v/>
      </c>
      <c r="C98" s="31" t="str">
        <f>IF(PaymentSchedule43[[#This Row],[PMT NO]]&lt;&gt;"",EOMONTH(LoanStartDate,ROW(PaymentSchedule43[[#This Row],[PMT NO]])-ROW(PaymentSchedule43[[#Headers],[PMT NO]])-2)+DAY(LoanStartDate),"")</f>
        <v/>
      </c>
      <c r="D9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98" s="32" t="str">
        <f>IF(PaymentSchedule43[[#This Row],[PMT NO]]&lt;&gt;"",ScheduledPayment,"")</f>
        <v/>
      </c>
      <c r="F9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9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98" s="32" t="str">
        <f>IF(PaymentSchedule43[[#This Row],[PMT NO]]&lt;&gt;"",PaymentSchedule43[[#This Row],[TOTAL PAYMENT]]-PaymentSchedule43[[#This Row],[INTEREST]],"")</f>
        <v/>
      </c>
      <c r="I98" s="32" t="str">
        <f>IF(PaymentSchedule43[[#This Row],[PMT NO]]&lt;&gt;"",PaymentSchedule43[[#This Row],[BEGINNING BALANCE]]*(InterestRate/PaymentsPerYear),"")</f>
        <v/>
      </c>
      <c r="J9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98" s="32" t="str">
        <f>IF(PaymentSchedule43[[#This Row],[PMT NO]]&lt;&gt;"",SUM(INDEX(PaymentSchedule43[INTEREST],1,1):PaymentSchedule43[[#This Row],[INTEREST]]),"")</f>
        <v/>
      </c>
    </row>
    <row r="99" spans="2:11" x14ac:dyDescent="0.3">
      <c r="B99" s="30" t="str">
        <f>IF(LoanIsGood,IF(ROW()-ROW(PaymentSchedule43[[#Headers],[PMT NO]])&gt;ScheduledNumberOfPayments,"",ROW()-ROW(PaymentSchedule43[[#Headers],[PMT NO]])),"")</f>
        <v/>
      </c>
      <c r="C99" s="31" t="str">
        <f>IF(PaymentSchedule43[[#This Row],[PMT NO]]&lt;&gt;"",EOMONTH(LoanStartDate,ROW(PaymentSchedule43[[#This Row],[PMT NO]])-ROW(PaymentSchedule43[[#Headers],[PMT NO]])-2)+DAY(LoanStartDate),"")</f>
        <v/>
      </c>
      <c r="D9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99" s="32" t="str">
        <f>IF(PaymentSchedule43[[#This Row],[PMT NO]]&lt;&gt;"",ScheduledPayment,"")</f>
        <v/>
      </c>
      <c r="F9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9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99" s="32" t="str">
        <f>IF(PaymentSchedule43[[#This Row],[PMT NO]]&lt;&gt;"",PaymentSchedule43[[#This Row],[TOTAL PAYMENT]]-PaymentSchedule43[[#This Row],[INTEREST]],"")</f>
        <v/>
      </c>
      <c r="I99" s="32" t="str">
        <f>IF(PaymentSchedule43[[#This Row],[PMT NO]]&lt;&gt;"",PaymentSchedule43[[#This Row],[BEGINNING BALANCE]]*(InterestRate/PaymentsPerYear),"")</f>
        <v/>
      </c>
      <c r="J9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99" s="32" t="str">
        <f>IF(PaymentSchedule43[[#This Row],[PMT NO]]&lt;&gt;"",SUM(INDEX(PaymentSchedule43[INTEREST],1,1):PaymentSchedule43[[#This Row],[INTEREST]]),"")</f>
        <v/>
      </c>
    </row>
    <row r="100" spans="2:11" x14ac:dyDescent="0.3">
      <c r="B100" s="30" t="str">
        <f>IF(LoanIsGood,IF(ROW()-ROW(PaymentSchedule43[[#Headers],[PMT NO]])&gt;ScheduledNumberOfPayments,"",ROW()-ROW(PaymentSchedule43[[#Headers],[PMT NO]])),"")</f>
        <v/>
      </c>
      <c r="C100" s="31" t="str">
        <f>IF(PaymentSchedule43[[#This Row],[PMT NO]]&lt;&gt;"",EOMONTH(LoanStartDate,ROW(PaymentSchedule43[[#This Row],[PMT NO]])-ROW(PaymentSchedule43[[#Headers],[PMT NO]])-2)+DAY(LoanStartDate),"")</f>
        <v/>
      </c>
      <c r="D10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00" s="32" t="str">
        <f>IF(PaymentSchedule43[[#This Row],[PMT NO]]&lt;&gt;"",ScheduledPayment,"")</f>
        <v/>
      </c>
      <c r="F10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0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00" s="32" t="str">
        <f>IF(PaymentSchedule43[[#This Row],[PMT NO]]&lt;&gt;"",PaymentSchedule43[[#This Row],[TOTAL PAYMENT]]-PaymentSchedule43[[#This Row],[INTEREST]],"")</f>
        <v/>
      </c>
      <c r="I100" s="32" t="str">
        <f>IF(PaymentSchedule43[[#This Row],[PMT NO]]&lt;&gt;"",PaymentSchedule43[[#This Row],[BEGINNING BALANCE]]*(InterestRate/PaymentsPerYear),"")</f>
        <v/>
      </c>
      <c r="J10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00" s="32" t="str">
        <f>IF(PaymentSchedule43[[#This Row],[PMT NO]]&lt;&gt;"",SUM(INDEX(PaymentSchedule43[INTEREST],1,1):PaymentSchedule43[[#This Row],[INTEREST]]),"")</f>
        <v/>
      </c>
    </row>
    <row r="101" spans="2:11" x14ac:dyDescent="0.3">
      <c r="B101" s="30" t="str">
        <f>IF(LoanIsGood,IF(ROW()-ROW(PaymentSchedule43[[#Headers],[PMT NO]])&gt;ScheduledNumberOfPayments,"",ROW()-ROW(PaymentSchedule43[[#Headers],[PMT NO]])),"")</f>
        <v/>
      </c>
      <c r="C101" s="31" t="str">
        <f>IF(PaymentSchedule43[[#This Row],[PMT NO]]&lt;&gt;"",EOMONTH(LoanStartDate,ROW(PaymentSchedule43[[#This Row],[PMT NO]])-ROW(PaymentSchedule43[[#Headers],[PMT NO]])-2)+DAY(LoanStartDate),"")</f>
        <v/>
      </c>
      <c r="D10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01" s="32" t="str">
        <f>IF(PaymentSchedule43[[#This Row],[PMT NO]]&lt;&gt;"",ScheduledPayment,"")</f>
        <v/>
      </c>
      <c r="F10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0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01" s="32" t="str">
        <f>IF(PaymentSchedule43[[#This Row],[PMT NO]]&lt;&gt;"",PaymentSchedule43[[#This Row],[TOTAL PAYMENT]]-PaymentSchedule43[[#This Row],[INTEREST]],"")</f>
        <v/>
      </c>
      <c r="I101" s="32" t="str">
        <f>IF(PaymentSchedule43[[#This Row],[PMT NO]]&lt;&gt;"",PaymentSchedule43[[#This Row],[BEGINNING BALANCE]]*(InterestRate/PaymentsPerYear),"")</f>
        <v/>
      </c>
      <c r="J10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01" s="32" t="str">
        <f>IF(PaymentSchedule43[[#This Row],[PMT NO]]&lt;&gt;"",SUM(INDEX(PaymentSchedule43[INTEREST],1,1):PaymentSchedule43[[#This Row],[INTEREST]]),"")</f>
        <v/>
      </c>
    </row>
    <row r="102" spans="2:11" x14ac:dyDescent="0.3">
      <c r="B102" s="30" t="str">
        <f>IF(LoanIsGood,IF(ROW()-ROW(PaymentSchedule43[[#Headers],[PMT NO]])&gt;ScheduledNumberOfPayments,"",ROW()-ROW(PaymentSchedule43[[#Headers],[PMT NO]])),"")</f>
        <v/>
      </c>
      <c r="C102" s="31" t="str">
        <f>IF(PaymentSchedule43[[#This Row],[PMT NO]]&lt;&gt;"",EOMONTH(LoanStartDate,ROW(PaymentSchedule43[[#This Row],[PMT NO]])-ROW(PaymentSchedule43[[#Headers],[PMT NO]])-2)+DAY(LoanStartDate),"")</f>
        <v/>
      </c>
      <c r="D10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02" s="32" t="str">
        <f>IF(PaymentSchedule43[[#This Row],[PMT NO]]&lt;&gt;"",ScheduledPayment,"")</f>
        <v/>
      </c>
      <c r="F10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0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02" s="32" t="str">
        <f>IF(PaymentSchedule43[[#This Row],[PMT NO]]&lt;&gt;"",PaymentSchedule43[[#This Row],[TOTAL PAYMENT]]-PaymentSchedule43[[#This Row],[INTEREST]],"")</f>
        <v/>
      </c>
      <c r="I102" s="32" t="str">
        <f>IF(PaymentSchedule43[[#This Row],[PMT NO]]&lt;&gt;"",PaymentSchedule43[[#This Row],[BEGINNING BALANCE]]*(InterestRate/PaymentsPerYear),"")</f>
        <v/>
      </c>
      <c r="J10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02" s="32" t="str">
        <f>IF(PaymentSchedule43[[#This Row],[PMT NO]]&lt;&gt;"",SUM(INDEX(PaymentSchedule43[INTEREST],1,1):PaymentSchedule43[[#This Row],[INTEREST]]),"")</f>
        <v/>
      </c>
    </row>
    <row r="103" spans="2:11" x14ac:dyDescent="0.3">
      <c r="B103" s="30" t="str">
        <f>IF(LoanIsGood,IF(ROW()-ROW(PaymentSchedule43[[#Headers],[PMT NO]])&gt;ScheduledNumberOfPayments,"",ROW()-ROW(PaymentSchedule43[[#Headers],[PMT NO]])),"")</f>
        <v/>
      </c>
      <c r="C103" s="31" t="str">
        <f>IF(PaymentSchedule43[[#This Row],[PMT NO]]&lt;&gt;"",EOMONTH(LoanStartDate,ROW(PaymentSchedule43[[#This Row],[PMT NO]])-ROW(PaymentSchedule43[[#Headers],[PMT NO]])-2)+DAY(LoanStartDate),"")</f>
        <v/>
      </c>
      <c r="D10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03" s="32" t="str">
        <f>IF(PaymentSchedule43[[#This Row],[PMT NO]]&lt;&gt;"",ScheduledPayment,"")</f>
        <v/>
      </c>
      <c r="F10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0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03" s="32" t="str">
        <f>IF(PaymentSchedule43[[#This Row],[PMT NO]]&lt;&gt;"",PaymentSchedule43[[#This Row],[TOTAL PAYMENT]]-PaymentSchedule43[[#This Row],[INTEREST]],"")</f>
        <v/>
      </c>
      <c r="I103" s="32" t="str">
        <f>IF(PaymentSchedule43[[#This Row],[PMT NO]]&lt;&gt;"",PaymentSchedule43[[#This Row],[BEGINNING BALANCE]]*(InterestRate/PaymentsPerYear),"")</f>
        <v/>
      </c>
      <c r="J10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03" s="32" t="str">
        <f>IF(PaymentSchedule43[[#This Row],[PMT NO]]&lt;&gt;"",SUM(INDEX(PaymentSchedule43[INTEREST],1,1):PaymentSchedule43[[#This Row],[INTEREST]]),"")</f>
        <v/>
      </c>
    </row>
    <row r="104" spans="2:11" x14ac:dyDescent="0.3">
      <c r="B104" s="30" t="str">
        <f>IF(LoanIsGood,IF(ROW()-ROW(PaymentSchedule43[[#Headers],[PMT NO]])&gt;ScheduledNumberOfPayments,"",ROW()-ROW(PaymentSchedule43[[#Headers],[PMT NO]])),"")</f>
        <v/>
      </c>
      <c r="C104" s="31" t="str">
        <f>IF(PaymentSchedule43[[#This Row],[PMT NO]]&lt;&gt;"",EOMONTH(LoanStartDate,ROW(PaymentSchedule43[[#This Row],[PMT NO]])-ROW(PaymentSchedule43[[#Headers],[PMT NO]])-2)+DAY(LoanStartDate),"")</f>
        <v/>
      </c>
      <c r="D10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04" s="32" t="str">
        <f>IF(PaymentSchedule43[[#This Row],[PMT NO]]&lt;&gt;"",ScheduledPayment,"")</f>
        <v/>
      </c>
      <c r="F10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0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04" s="32" t="str">
        <f>IF(PaymentSchedule43[[#This Row],[PMT NO]]&lt;&gt;"",PaymentSchedule43[[#This Row],[TOTAL PAYMENT]]-PaymentSchedule43[[#This Row],[INTEREST]],"")</f>
        <v/>
      </c>
      <c r="I104" s="32" t="str">
        <f>IF(PaymentSchedule43[[#This Row],[PMT NO]]&lt;&gt;"",PaymentSchedule43[[#This Row],[BEGINNING BALANCE]]*(InterestRate/PaymentsPerYear),"")</f>
        <v/>
      </c>
      <c r="J10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04" s="32" t="str">
        <f>IF(PaymentSchedule43[[#This Row],[PMT NO]]&lt;&gt;"",SUM(INDEX(PaymentSchedule43[INTEREST],1,1):PaymentSchedule43[[#This Row],[INTEREST]]),"")</f>
        <v/>
      </c>
    </row>
    <row r="105" spans="2:11" x14ac:dyDescent="0.3">
      <c r="B105" s="30" t="str">
        <f>IF(LoanIsGood,IF(ROW()-ROW(PaymentSchedule43[[#Headers],[PMT NO]])&gt;ScheduledNumberOfPayments,"",ROW()-ROW(PaymentSchedule43[[#Headers],[PMT NO]])),"")</f>
        <v/>
      </c>
      <c r="C105" s="31" t="str">
        <f>IF(PaymentSchedule43[[#This Row],[PMT NO]]&lt;&gt;"",EOMONTH(LoanStartDate,ROW(PaymentSchedule43[[#This Row],[PMT NO]])-ROW(PaymentSchedule43[[#Headers],[PMT NO]])-2)+DAY(LoanStartDate),"")</f>
        <v/>
      </c>
      <c r="D10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05" s="32" t="str">
        <f>IF(PaymentSchedule43[[#This Row],[PMT NO]]&lt;&gt;"",ScheduledPayment,"")</f>
        <v/>
      </c>
      <c r="F10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0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05" s="32" t="str">
        <f>IF(PaymentSchedule43[[#This Row],[PMT NO]]&lt;&gt;"",PaymentSchedule43[[#This Row],[TOTAL PAYMENT]]-PaymentSchedule43[[#This Row],[INTEREST]],"")</f>
        <v/>
      </c>
      <c r="I105" s="32" t="str">
        <f>IF(PaymentSchedule43[[#This Row],[PMT NO]]&lt;&gt;"",PaymentSchedule43[[#This Row],[BEGINNING BALANCE]]*(InterestRate/PaymentsPerYear),"")</f>
        <v/>
      </c>
      <c r="J10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05" s="32" t="str">
        <f>IF(PaymentSchedule43[[#This Row],[PMT NO]]&lt;&gt;"",SUM(INDEX(PaymentSchedule43[INTEREST],1,1):PaymentSchedule43[[#This Row],[INTEREST]]),"")</f>
        <v/>
      </c>
    </row>
    <row r="106" spans="2:11" x14ac:dyDescent="0.3">
      <c r="B106" s="30" t="str">
        <f>IF(LoanIsGood,IF(ROW()-ROW(PaymentSchedule43[[#Headers],[PMT NO]])&gt;ScheduledNumberOfPayments,"",ROW()-ROW(PaymentSchedule43[[#Headers],[PMT NO]])),"")</f>
        <v/>
      </c>
      <c r="C106" s="31" t="str">
        <f>IF(PaymentSchedule43[[#This Row],[PMT NO]]&lt;&gt;"",EOMONTH(LoanStartDate,ROW(PaymentSchedule43[[#This Row],[PMT NO]])-ROW(PaymentSchedule43[[#Headers],[PMT NO]])-2)+DAY(LoanStartDate),"")</f>
        <v/>
      </c>
      <c r="D10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06" s="32" t="str">
        <f>IF(PaymentSchedule43[[#This Row],[PMT NO]]&lt;&gt;"",ScheduledPayment,"")</f>
        <v/>
      </c>
      <c r="F10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0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06" s="32" t="str">
        <f>IF(PaymentSchedule43[[#This Row],[PMT NO]]&lt;&gt;"",PaymentSchedule43[[#This Row],[TOTAL PAYMENT]]-PaymentSchedule43[[#This Row],[INTEREST]],"")</f>
        <v/>
      </c>
      <c r="I106" s="32" t="str">
        <f>IF(PaymentSchedule43[[#This Row],[PMT NO]]&lt;&gt;"",PaymentSchedule43[[#This Row],[BEGINNING BALANCE]]*(InterestRate/PaymentsPerYear),"")</f>
        <v/>
      </c>
      <c r="J10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06" s="32" t="str">
        <f>IF(PaymentSchedule43[[#This Row],[PMT NO]]&lt;&gt;"",SUM(INDEX(PaymentSchedule43[INTEREST],1,1):PaymentSchedule43[[#This Row],[INTEREST]]),"")</f>
        <v/>
      </c>
    </row>
    <row r="107" spans="2:11" x14ac:dyDescent="0.3">
      <c r="B107" s="30" t="str">
        <f>IF(LoanIsGood,IF(ROW()-ROW(PaymentSchedule43[[#Headers],[PMT NO]])&gt;ScheduledNumberOfPayments,"",ROW()-ROW(PaymentSchedule43[[#Headers],[PMT NO]])),"")</f>
        <v/>
      </c>
      <c r="C107" s="31" t="str">
        <f>IF(PaymentSchedule43[[#This Row],[PMT NO]]&lt;&gt;"",EOMONTH(LoanStartDate,ROW(PaymentSchedule43[[#This Row],[PMT NO]])-ROW(PaymentSchedule43[[#Headers],[PMT NO]])-2)+DAY(LoanStartDate),"")</f>
        <v/>
      </c>
      <c r="D10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07" s="32" t="str">
        <f>IF(PaymentSchedule43[[#This Row],[PMT NO]]&lt;&gt;"",ScheduledPayment,"")</f>
        <v/>
      </c>
      <c r="F10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0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07" s="32" t="str">
        <f>IF(PaymentSchedule43[[#This Row],[PMT NO]]&lt;&gt;"",PaymentSchedule43[[#This Row],[TOTAL PAYMENT]]-PaymentSchedule43[[#This Row],[INTEREST]],"")</f>
        <v/>
      </c>
      <c r="I107" s="32" t="str">
        <f>IF(PaymentSchedule43[[#This Row],[PMT NO]]&lt;&gt;"",PaymentSchedule43[[#This Row],[BEGINNING BALANCE]]*(InterestRate/PaymentsPerYear),"")</f>
        <v/>
      </c>
      <c r="J10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07" s="32" t="str">
        <f>IF(PaymentSchedule43[[#This Row],[PMT NO]]&lt;&gt;"",SUM(INDEX(PaymentSchedule43[INTEREST],1,1):PaymentSchedule43[[#This Row],[INTEREST]]),"")</f>
        <v/>
      </c>
    </row>
    <row r="108" spans="2:11" x14ac:dyDescent="0.3">
      <c r="B108" s="30" t="str">
        <f>IF(LoanIsGood,IF(ROW()-ROW(PaymentSchedule43[[#Headers],[PMT NO]])&gt;ScheduledNumberOfPayments,"",ROW()-ROW(PaymentSchedule43[[#Headers],[PMT NO]])),"")</f>
        <v/>
      </c>
      <c r="C108" s="31" t="str">
        <f>IF(PaymentSchedule43[[#This Row],[PMT NO]]&lt;&gt;"",EOMONTH(LoanStartDate,ROW(PaymentSchedule43[[#This Row],[PMT NO]])-ROW(PaymentSchedule43[[#Headers],[PMT NO]])-2)+DAY(LoanStartDate),"")</f>
        <v/>
      </c>
      <c r="D10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08" s="32" t="str">
        <f>IF(PaymentSchedule43[[#This Row],[PMT NO]]&lt;&gt;"",ScheduledPayment,"")</f>
        <v/>
      </c>
      <c r="F10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0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08" s="32" t="str">
        <f>IF(PaymentSchedule43[[#This Row],[PMT NO]]&lt;&gt;"",PaymentSchedule43[[#This Row],[TOTAL PAYMENT]]-PaymentSchedule43[[#This Row],[INTEREST]],"")</f>
        <v/>
      </c>
      <c r="I108" s="32" t="str">
        <f>IF(PaymentSchedule43[[#This Row],[PMT NO]]&lt;&gt;"",PaymentSchedule43[[#This Row],[BEGINNING BALANCE]]*(InterestRate/PaymentsPerYear),"")</f>
        <v/>
      </c>
      <c r="J10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08" s="32" t="str">
        <f>IF(PaymentSchedule43[[#This Row],[PMT NO]]&lt;&gt;"",SUM(INDEX(PaymentSchedule43[INTEREST],1,1):PaymentSchedule43[[#This Row],[INTEREST]]),"")</f>
        <v/>
      </c>
    </row>
    <row r="109" spans="2:11" x14ac:dyDescent="0.3">
      <c r="B109" s="30" t="str">
        <f>IF(LoanIsGood,IF(ROW()-ROW(PaymentSchedule43[[#Headers],[PMT NO]])&gt;ScheduledNumberOfPayments,"",ROW()-ROW(PaymentSchedule43[[#Headers],[PMT NO]])),"")</f>
        <v/>
      </c>
      <c r="C109" s="31" t="str">
        <f>IF(PaymentSchedule43[[#This Row],[PMT NO]]&lt;&gt;"",EOMONTH(LoanStartDate,ROW(PaymentSchedule43[[#This Row],[PMT NO]])-ROW(PaymentSchedule43[[#Headers],[PMT NO]])-2)+DAY(LoanStartDate),"")</f>
        <v/>
      </c>
      <c r="D10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09" s="32" t="str">
        <f>IF(PaymentSchedule43[[#This Row],[PMT NO]]&lt;&gt;"",ScheduledPayment,"")</f>
        <v/>
      </c>
      <c r="F10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0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09" s="32" t="str">
        <f>IF(PaymentSchedule43[[#This Row],[PMT NO]]&lt;&gt;"",PaymentSchedule43[[#This Row],[TOTAL PAYMENT]]-PaymentSchedule43[[#This Row],[INTEREST]],"")</f>
        <v/>
      </c>
      <c r="I109" s="32" t="str">
        <f>IF(PaymentSchedule43[[#This Row],[PMT NO]]&lt;&gt;"",PaymentSchedule43[[#This Row],[BEGINNING BALANCE]]*(InterestRate/PaymentsPerYear),"")</f>
        <v/>
      </c>
      <c r="J10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09" s="32" t="str">
        <f>IF(PaymentSchedule43[[#This Row],[PMT NO]]&lt;&gt;"",SUM(INDEX(PaymentSchedule43[INTEREST],1,1):PaymentSchedule43[[#This Row],[INTEREST]]),"")</f>
        <v/>
      </c>
    </row>
    <row r="110" spans="2:11" x14ac:dyDescent="0.3">
      <c r="B110" s="30" t="str">
        <f>IF(LoanIsGood,IF(ROW()-ROW(PaymentSchedule43[[#Headers],[PMT NO]])&gt;ScheduledNumberOfPayments,"",ROW()-ROW(PaymentSchedule43[[#Headers],[PMT NO]])),"")</f>
        <v/>
      </c>
      <c r="C110" s="31" t="str">
        <f>IF(PaymentSchedule43[[#This Row],[PMT NO]]&lt;&gt;"",EOMONTH(LoanStartDate,ROW(PaymentSchedule43[[#This Row],[PMT NO]])-ROW(PaymentSchedule43[[#Headers],[PMT NO]])-2)+DAY(LoanStartDate),"")</f>
        <v/>
      </c>
      <c r="D11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10" s="32" t="str">
        <f>IF(PaymentSchedule43[[#This Row],[PMT NO]]&lt;&gt;"",ScheduledPayment,"")</f>
        <v/>
      </c>
      <c r="F11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1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10" s="32" t="str">
        <f>IF(PaymentSchedule43[[#This Row],[PMT NO]]&lt;&gt;"",PaymentSchedule43[[#This Row],[TOTAL PAYMENT]]-PaymentSchedule43[[#This Row],[INTEREST]],"")</f>
        <v/>
      </c>
      <c r="I110" s="32" t="str">
        <f>IF(PaymentSchedule43[[#This Row],[PMT NO]]&lt;&gt;"",PaymentSchedule43[[#This Row],[BEGINNING BALANCE]]*(InterestRate/PaymentsPerYear),"")</f>
        <v/>
      </c>
      <c r="J11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10" s="32" t="str">
        <f>IF(PaymentSchedule43[[#This Row],[PMT NO]]&lt;&gt;"",SUM(INDEX(PaymentSchedule43[INTEREST],1,1):PaymentSchedule43[[#This Row],[INTEREST]]),"")</f>
        <v/>
      </c>
    </row>
    <row r="111" spans="2:11" x14ac:dyDescent="0.3">
      <c r="B111" s="30" t="str">
        <f>IF(LoanIsGood,IF(ROW()-ROW(PaymentSchedule43[[#Headers],[PMT NO]])&gt;ScheduledNumberOfPayments,"",ROW()-ROW(PaymentSchedule43[[#Headers],[PMT NO]])),"")</f>
        <v/>
      </c>
      <c r="C111" s="31" t="str">
        <f>IF(PaymentSchedule43[[#This Row],[PMT NO]]&lt;&gt;"",EOMONTH(LoanStartDate,ROW(PaymentSchedule43[[#This Row],[PMT NO]])-ROW(PaymentSchedule43[[#Headers],[PMT NO]])-2)+DAY(LoanStartDate),"")</f>
        <v/>
      </c>
      <c r="D11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11" s="32" t="str">
        <f>IF(PaymentSchedule43[[#This Row],[PMT NO]]&lt;&gt;"",ScheduledPayment,"")</f>
        <v/>
      </c>
      <c r="F11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1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11" s="32" t="str">
        <f>IF(PaymentSchedule43[[#This Row],[PMT NO]]&lt;&gt;"",PaymentSchedule43[[#This Row],[TOTAL PAYMENT]]-PaymentSchedule43[[#This Row],[INTEREST]],"")</f>
        <v/>
      </c>
      <c r="I111" s="32" t="str">
        <f>IF(PaymentSchedule43[[#This Row],[PMT NO]]&lt;&gt;"",PaymentSchedule43[[#This Row],[BEGINNING BALANCE]]*(InterestRate/PaymentsPerYear),"")</f>
        <v/>
      </c>
      <c r="J11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11" s="32" t="str">
        <f>IF(PaymentSchedule43[[#This Row],[PMT NO]]&lt;&gt;"",SUM(INDEX(PaymentSchedule43[INTEREST],1,1):PaymentSchedule43[[#This Row],[INTEREST]]),"")</f>
        <v/>
      </c>
    </row>
    <row r="112" spans="2:11" x14ac:dyDescent="0.3">
      <c r="B112" s="30" t="str">
        <f>IF(LoanIsGood,IF(ROW()-ROW(PaymentSchedule43[[#Headers],[PMT NO]])&gt;ScheduledNumberOfPayments,"",ROW()-ROW(PaymentSchedule43[[#Headers],[PMT NO]])),"")</f>
        <v/>
      </c>
      <c r="C112" s="31" t="str">
        <f>IF(PaymentSchedule43[[#This Row],[PMT NO]]&lt;&gt;"",EOMONTH(LoanStartDate,ROW(PaymentSchedule43[[#This Row],[PMT NO]])-ROW(PaymentSchedule43[[#Headers],[PMT NO]])-2)+DAY(LoanStartDate),"")</f>
        <v/>
      </c>
      <c r="D11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12" s="32" t="str">
        <f>IF(PaymentSchedule43[[#This Row],[PMT NO]]&lt;&gt;"",ScheduledPayment,"")</f>
        <v/>
      </c>
      <c r="F11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1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12" s="32" t="str">
        <f>IF(PaymentSchedule43[[#This Row],[PMT NO]]&lt;&gt;"",PaymentSchedule43[[#This Row],[TOTAL PAYMENT]]-PaymentSchedule43[[#This Row],[INTEREST]],"")</f>
        <v/>
      </c>
      <c r="I112" s="32" t="str">
        <f>IF(PaymentSchedule43[[#This Row],[PMT NO]]&lt;&gt;"",PaymentSchedule43[[#This Row],[BEGINNING BALANCE]]*(InterestRate/PaymentsPerYear),"")</f>
        <v/>
      </c>
      <c r="J11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12" s="32" t="str">
        <f>IF(PaymentSchedule43[[#This Row],[PMT NO]]&lt;&gt;"",SUM(INDEX(PaymentSchedule43[INTEREST],1,1):PaymentSchedule43[[#This Row],[INTEREST]]),"")</f>
        <v/>
      </c>
    </row>
    <row r="113" spans="2:11" x14ac:dyDescent="0.3">
      <c r="B113" s="30" t="str">
        <f>IF(LoanIsGood,IF(ROW()-ROW(PaymentSchedule43[[#Headers],[PMT NO]])&gt;ScheduledNumberOfPayments,"",ROW()-ROW(PaymentSchedule43[[#Headers],[PMT NO]])),"")</f>
        <v/>
      </c>
      <c r="C113" s="31" t="str">
        <f>IF(PaymentSchedule43[[#This Row],[PMT NO]]&lt;&gt;"",EOMONTH(LoanStartDate,ROW(PaymentSchedule43[[#This Row],[PMT NO]])-ROW(PaymentSchedule43[[#Headers],[PMT NO]])-2)+DAY(LoanStartDate),"")</f>
        <v/>
      </c>
      <c r="D11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13" s="32" t="str">
        <f>IF(PaymentSchedule43[[#This Row],[PMT NO]]&lt;&gt;"",ScheduledPayment,"")</f>
        <v/>
      </c>
      <c r="F11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1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13" s="32" t="str">
        <f>IF(PaymentSchedule43[[#This Row],[PMT NO]]&lt;&gt;"",PaymentSchedule43[[#This Row],[TOTAL PAYMENT]]-PaymentSchedule43[[#This Row],[INTEREST]],"")</f>
        <v/>
      </c>
      <c r="I113" s="32" t="str">
        <f>IF(PaymentSchedule43[[#This Row],[PMT NO]]&lt;&gt;"",PaymentSchedule43[[#This Row],[BEGINNING BALANCE]]*(InterestRate/PaymentsPerYear),"")</f>
        <v/>
      </c>
      <c r="J11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13" s="32" t="str">
        <f>IF(PaymentSchedule43[[#This Row],[PMT NO]]&lt;&gt;"",SUM(INDEX(PaymentSchedule43[INTEREST],1,1):PaymentSchedule43[[#This Row],[INTEREST]]),"")</f>
        <v/>
      </c>
    </row>
    <row r="114" spans="2:11" x14ac:dyDescent="0.3">
      <c r="B114" s="30" t="str">
        <f>IF(LoanIsGood,IF(ROW()-ROW(PaymentSchedule43[[#Headers],[PMT NO]])&gt;ScheduledNumberOfPayments,"",ROW()-ROW(PaymentSchedule43[[#Headers],[PMT NO]])),"")</f>
        <v/>
      </c>
      <c r="C114" s="31" t="str">
        <f>IF(PaymentSchedule43[[#This Row],[PMT NO]]&lt;&gt;"",EOMONTH(LoanStartDate,ROW(PaymentSchedule43[[#This Row],[PMT NO]])-ROW(PaymentSchedule43[[#Headers],[PMT NO]])-2)+DAY(LoanStartDate),"")</f>
        <v/>
      </c>
      <c r="D11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14" s="32" t="str">
        <f>IF(PaymentSchedule43[[#This Row],[PMT NO]]&lt;&gt;"",ScheduledPayment,"")</f>
        <v/>
      </c>
      <c r="F11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1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14" s="32" t="str">
        <f>IF(PaymentSchedule43[[#This Row],[PMT NO]]&lt;&gt;"",PaymentSchedule43[[#This Row],[TOTAL PAYMENT]]-PaymentSchedule43[[#This Row],[INTEREST]],"")</f>
        <v/>
      </c>
      <c r="I114" s="32" t="str">
        <f>IF(PaymentSchedule43[[#This Row],[PMT NO]]&lt;&gt;"",PaymentSchedule43[[#This Row],[BEGINNING BALANCE]]*(InterestRate/PaymentsPerYear),"")</f>
        <v/>
      </c>
      <c r="J11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14" s="32" t="str">
        <f>IF(PaymentSchedule43[[#This Row],[PMT NO]]&lt;&gt;"",SUM(INDEX(PaymentSchedule43[INTEREST],1,1):PaymentSchedule43[[#This Row],[INTEREST]]),"")</f>
        <v/>
      </c>
    </row>
    <row r="115" spans="2:11" x14ac:dyDescent="0.3">
      <c r="B115" s="30" t="str">
        <f>IF(LoanIsGood,IF(ROW()-ROW(PaymentSchedule43[[#Headers],[PMT NO]])&gt;ScheduledNumberOfPayments,"",ROW()-ROW(PaymentSchedule43[[#Headers],[PMT NO]])),"")</f>
        <v/>
      </c>
      <c r="C115" s="31" t="str">
        <f>IF(PaymentSchedule43[[#This Row],[PMT NO]]&lt;&gt;"",EOMONTH(LoanStartDate,ROW(PaymentSchedule43[[#This Row],[PMT NO]])-ROW(PaymentSchedule43[[#Headers],[PMT NO]])-2)+DAY(LoanStartDate),"")</f>
        <v/>
      </c>
      <c r="D11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15" s="32" t="str">
        <f>IF(PaymentSchedule43[[#This Row],[PMT NO]]&lt;&gt;"",ScheduledPayment,"")</f>
        <v/>
      </c>
      <c r="F11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1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15" s="32" t="str">
        <f>IF(PaymentSchedule43[[#This Row],[PMT NO]]&lt;&gt;"",PaymentSchedule43[[#This Row],[TOTAL PAYMENT]]-PaymentSchedule43[[#This Row],[INTEREST]],"")</f>
        <v/>
      </c>
      <c r="I115" s="32" t="str">
        <f>IF(PaymentSchedule43[[#This Row],[PMT NO]]&lt;&gt;"",PaymentSchedule43[[#This Row],[BEGINNING BALANCE]]*(InterestRate/PaymentsPerYear),"")</f>
        <v/>
      </c>
      <c r="J11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15" s="32" t="str">
        <f>IF(PaymentSchedule43[[#This Row],[PMT NO]]&lt;&gt;"",SUM(INDEX(PaymentSchedule43[INTEREST],1,1):PaymentSchedule43[[#This Row],[INTEREST]]),"")</f>
        <v/>
      </c>
    </row>
    <row r="116" spans="2:11" x14ac:dyDescent="0.3">
      <c r="B116" s="30" t="str">
        <f>IF(LoanIsGood,IF(ROW()-ROW(PaymentSchedule43[[#Headers],[PMT NO]])&gt;ScheduledNumberOfPayments,"",ROW()-ROW(PaymentSchedule43[[#Headers],[PMT NO]])),"")</f>
        <v/>
      </c>
      <c r="C116" s="31" t="str">
        <f>IF(PaymentSchedule43[[#This Row],[PMT NO]]&lt;&gt;"",EOMONTH(LoanStartDate,ROW(PaymentSchedule43[[#This Row],[PMT NO]])-ROW(PaymentSchedule43[[#Headers],[PMT NO]])-2)+DAY(LoanStartDate),"")</f>
        <v/>
      </c>
      <c r="D11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16" s="32" t="str">
        <f>IF(PaymentSchedule43[[#This Row],[PMT NO]]&lt;&gt;"",ScheduledPayment,"")</f>
        <v/>
      </c>
      <c r="F11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1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16" s="32" t="str">
        <f>IF(PaymentSchedule43[[#This Row],[PMT NO]]&lt;&gt;"",PaymentSchedule43[[#This Row],[TOTAL PAYMENT]]-PaymentSchedule43[[#This Row],[INTEREST]],"")</f>
        <v/>
      </c>
      <c r="I116" s="32" t="str">
        <f>IF(PaymentSchedule43[[#This Row],[PMT NO]]&lt;&gt;"",PaymentSchedule43[[#This Row],[BEGINNING BALANCE]]*(InterestRate/PaymentsPerYear),"")</f>
        <v/>
      </c>
      <c r="J11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16" s="32" t="str">
        <f>IF(PaymentSchedule43[[#This Row],[PMT NO]]&lt;&gt;"",SUM(INDEX(PaymentSchedule43[INTEREST],1,1):PaymentSchedule43[[#This Row],[INTEREST]]),"")</f>
        <v/>
      </c>
    </row>
    <row r="117" spans="2:11" x14ac:dyDescent="0.3">
      <c r="B117" s="30" t="str">
        <f>IF(LoanIsGood,IF(ROW()-ROW(PaymentSchedule43[[#Headers],[PMT NO]])&gt;ScheduledNumberOfPayments,"",ROW()-ROW(PaymentSchedule43[[#Headers],[PMT NO]])),"")</f>
        <v/>
      </c>
      <c r="C117" s="31" t="str">
        <f>IF(PaymentSchedule43[[#This Row],[PMT NO]]&lt;&gt;"",EOMONTH(LoanStartDate,ROW(PaymentSchedule43[[#This Row],[PMT NO]])-ROW(PaymentSchedule43[[#Headers],[PMT NO]])-2)+DAY(LoanStartDate),"")</f>
        <v/>
      </c>
      <c r="D11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17" s="32" t="str">
        <f>IF(PaymentSchedule43[[#This Row],[PMT NO]]&lt;&gt;"",ScheduledPayment,"")</f>
        <v/>
      </c>
      <c r="F11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1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17" s="32" t="str">
        <f>IF(PaymentSchedule43[[#This Row],[PMT NO]]&lt;&gt;"",PaymentSchedule43[[#This Row],[TOTAL PAYMENT]]-PaymentSchedule43[[#This Row],[INTEREST]],"")</f>
        <v/>
      </c>
      <c r="I117" s="32" t="str">
        <f>IF(PaymentSchedule43[[#This Row],[PMT NO]]&lt;&gt;"",PaymentSchedule43[[#This Row],[BEGINNING BALANCE]]*(InterestRate/PaymentsPerYear),"")</f>
        <v/>
      </c>
      <c r="J11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17" s="32" t="str">
        <f>IF(PaymentSchedule43[[#This Row],[PMT NO]]&lt;&gt;"",SUM(INDEX(PaymentSchedule43[INTEREST],1,1):PaymentSchedule43[[#This Row],[INTEREST]]),"")</f>
        <v/>
      </c>
    </row>
    <row r="118" spans="2:11" x14ac:dyDescent="0.3">
      <c r="B118" s="30" t="str">
        <f>IF(LoanIsGood,IF(ROW()-ROW(PaymentSchedule43[[#Headers],[PMT NO]])&gt;ScheduledNumberOfPayments,"",ROW()-ROW(PaymentSchedule43[[#Headers],[PMT NO]])),"")</f>
        <v/>
      </c>
      <c r="C118" s="31" t="str">
        <f>IF(PaymentSchedule43[[#This Row],[PMT NO]]&lt;&gt;"",EOMONTH(LoanStartDate,ROW(PaymentSchedule43[[#This Row],[PMT NO]])-ROW(PaymentSchedule43[[#Headers],[PMT NO]])-2)+DAY(LoanStartDate),"")</f>
        <v/>
      </c>
      <c r="D11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18" s="32" t="str">
        <f>IF(PaymentSchedule43[[#This Row],[PMT NO]]&lt;&gt;"",ScheduledPayment,"")</f>
        <v/>
      </c>
      <c r="F11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1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18" s="32" t="str">
        <f>IF(PaymentSchedule43[[#This Row],[PMT NO]]&lt;&gt;"",PaymentSchedule43[[#This Row],[TOTAL PAYMENT]]-PaymentSchedule43[[#This Row],[INTEREST]],"")</f>
        <v/>
      </c>
      <c r="I118" s="32" t="str">
        <f>IF(PaymentSchedule43[[#This Row],[PMT NO]]&lt;&gt;"",PaymentSchedule43[[#This Row],[BEGINNING BALANCE]]*(InterestRate/PaymentsPerYear),"")</f>
        <v/>
      </c>
      <c r="J11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18" s="32" t="str">
        <f>IF(PaymentSchedule43[[#This Row],[PMT NO]]&lt;&gt;"",SUM(INDEX(PaymentSchedule43[INTEREST],1,1):PaymentSchedule43[[#This Row],[INTEREST]]),"")</f>
        <v/>
      </c>
    </row>
    <row r="119" spans="2:11" x14ac:dyDescent="0.3">
      <c r="B119" s="30" t="str">
        <f>IF(LoanIsGood,IF(ROW()-ROW(PaymentSchedule43[[#Headers],[PMT NO]])&gt;ScheduledNumberOfPayments,"",ROW()-ROW(PaymentSchedule43[[#Headers],[PMT NO]])),"")</f>
        <v/>
      </c>
      <c r="C119" s="31" t="str">
        <f>IF(PaymentSchedule43[[#This Row],[PMT NO]]&lt;&gt;"",EOMONTH(LoanStartDate,ROW(PaymentSchedule43[[#This Row],[PMT NO]])-ROW(PaymentSchedule43[[#Headers],[PMT NO]])-2)+DAY(LoanStartDate),"")</f>
        <v/>
      </c>
      <c r="D11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19" s="32" t="str">
        <f>IF(PaymentSchedule43[[#This Row],[PMT NO]]&lt;&gt;"",ScheduledPayment,"")</f>
        <v/>
      </c>
      <c r="F11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1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19" s="32" t="str">
        <f>IF(PaymentSchedule43[[#This Row],[PMT NO]]&lt;&gt;"",PaymentSchedule43[[#This Row],[TOTAL PAYMENT]]-PaymentSchedule43[[#This Row],[INTEREST]],"")</f>
        <v/>
      </c>
      <c r="I119" s="32" t="str">
        <f>IF(PaymentSchedule43[[#This Row],[PMT NO]]&lt;&gt;"",PaymentSchedule43[[#This Row],[BEGINNING BALANCE]]*(InterestRate/PaymentsPerYear),"")</f>
        <v/>
      </c>
      <c r="J11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19" s="32" t="str">
        <f>IF(PaymentSchedule43[[#This Row],[PMT NO]]&lt;&gt;"",SUM(INDEX(PaymentSchedule43[INTEREST],1,1):PaymentSchedule43[[#This Row],[INTEREST]]),"")</f>
        <v/>
      </c>
    </row>
    <row r="120" spans="2:11" x14ac:dyDescent="0.3">
      <c r="B120" s="30" t="str">
        <f>IF(LoanIsGood,IF(ROW()-ROW(PaymentSchedule43[[#Headers],[PMT NO]])&gt;ScheduledNumberOfPayments,"",ROW()-ROW(PaymentSchedule43[[#Headers],[PMT NO]])),"")</f>
        <v/>
      </c>
      <c r="C120" s="31" t="str">
        <f>IF(PaymentSchedule43[[#This Row],[PMT NO]]&lt;&gt;"",EOMONTH(LoanStartDate,ROW(PaymentSchedule43[[#This Row],[PMT NO]])-ROW(PaymentSchedule43[[#Headers],[PMT NO]])-2)+DAY(LoanStartDate),"")</f>
        <v/>
      </c>
      <c r="D12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20" s="32" t="str">
        <f>IF(PaymentSchedule43[[#This Row],[PMT NO]]&lt;&gt;"",ScheduledPayment,"")</f>
        <v/>
      </c>
      <c r="F12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2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20" s="32" t="str">
        <f>IF(PaymentSchedule43[[#This Row],[PMT NO]]&lt;&gt;"",PaymentSchedule43[[#This Row],[TOTAL PAYMENT]]-PaymentSchedule43[[#This Row],[INTEREST]],"")</f>
        <v/>
      </c>
      <c r="I120" s="32" t="str">
        <f>IF(PaymentSchedule43[[#This Row],[PMT NO]]&lt;&gt;"",PaymentSchedule43[[#This Row],[BEGINNING BALANCE]]*(InterestRate/PaymentsPerYear),"")</f>
        <v/>
      </c>
      <c r="J12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20" s="32" t="str">
        <f>IF(PaymentSchedule43[[#This Row],[PMT NO]]&lt;&gt;"",SUM(INDEX(PaymentSchedule43[INTEREST],1,1):PaymentSchedule43[[#This Row],[INTEREST]]),"")</f>
        <v/>
      </c>
    </row>
    <row r="121" spans="2:11" x14ac:dyDescent="0.3">
      <c r="B121" s="30" t="str">
        <f>IF(LoanIsGood,IF(ROW()-ROW(PaymentSchedule43[[#Headers],[PMT NO]])&gt;ScheduledNumberOfPayments,"",ROW()-ROW(PaymentSchedule43[[#Headers],[PMT NO]])),"")</f>
        <v/>
      </c>
      <c r="C121" s="31" t="str">
        <f>IF(PaymentSchedule43[[#This Row],[PMT NO]]&lt;&gt;"",EOMONTH(LoanStartDate,ROW(PaymentSchedule43[[#This Row],[PMT NO]])-ROW(PaymentSchedule43[[#Headers],[PMT NO]])-2)+DAY(LoanStartDate),"")</f>
        <v/>
      </c>
      <c r="D12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21" s="32" t="str">
        <f>IF(PaymentSchedule43[[#This Row],[PMT NO]]&lt;&gt;"",ScheduledPayment,"")</f>
        <v/>
      </c>
      <c r="F12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2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21" s="32" t="str">
        <f>IF(PaymentSchedule43[[#This Row],[PMT NO]]&lt;&gt;"",PaymentSchedule43[[#This Row],[TOTAL PAYMENT]]-PaymentSchedule43[[#This Row],[INTEREST]],"")</f>
        <v/>
      </c>
      <c r="I121" s="32" t="str">
        <f>IF(PaymentSchedule43[[#This Row],[PMT NO]]&lt;&gt;"",PaymentSchedule43[[#This Row],[BEGINNING BALANCE]]*(InterestRate/PaymentsPerYear),"")</f>
        <v/>
      </c>
      <c r="J12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21" s="32" t="str">
        <f>IF(PaymentSchedule43[[#This Row],[PMT NO]]&lt;&gt;"",SUM(INDEX(PaymentSchedule43[INTEREST],1,1):PaymentSchedule43[[#This Row],[INTEREST]]),"")</f>
        <v/>
      </c>
    </row>
    <row r="122" spans="2:11" x14ac:dyDescent="0.3">
      <c r="B122" s="30" t="str">
        <f>IF(LoanIsGood,IF(ROW()-ROW(PaymentSchedule43[[#Headers],[PMT NO]])&gt;ScheduledNumberOfPayments,"",ROW()-ROW(PaymentSchedule43[[#Headers],[PMT NO]])),"")</f>
        <v/>
      </c>
      <c r="C122" s="31" t="str">
        <f>IF(PaymentSchedule43[[#This Row],[PMT NO]]&lt;&gt;"",EOMONTH(LoanStartDate,ROW(PaymentSchedule43[[#This Row],[PMT NO]])-ROW(PaymentSchedule43[[#Headers],[PMT NO]])-2)+DAY(LoanStartDate),"")</f>
        <v/>
      </c>
      <c r="D12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22" s="32" t="str">
        <f>IF(PaymentSchedule43[[#This Row],[PMT NO]]&lt;&gt;"",ScheduledPayment,"")</f>
        <v/>
      </c>
      <c r="F12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2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22" s="32" t="str">
        <f>IF(PaymentSchedule43[[#This Row],[PMT NO]]&lt;&gt;"",PaymentSchedule43[[#This Row],[TOTAL PAYMENT]]-PaymentSchedule43[[#This Row],[INTEREST]],"")</f>
        <v/>
      </c>
      <c r="I122" s="32" t="str">
        <f>IF(PaymentSchedule43[[#This Row],[PMT NO]]&lt;&gt;"",PaymentSchedule43[[#This Row],[BEGINNING BALANCE]]*(InterestRate/PaymentsPerYear),"")</f>
        <v/>
      </c>
      <c r="J12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22" s="32" t="str">
        <f>IF(PaymentSchedule43[[#This Row],[PMT NO]]&lt;&gt;"",SUM(INDEX(PaymentSchedule43[INTEREST],1,1):PaymentSchedule43[[#This Row],[INTEREST]]),"")</f>
        <v/>
      </c>
    </row>
    <row r="123" spans="2:11" x14ac:dyDescent="0.3">
      <c r="B123" s="30" t="str">
        <f>IF(LoanIsGood,IF(ROW()-ROW(PaymentSchedule43[[#Headers],[PMT NO]])&gt;ScheduledNumberOfPayments,"",ROW()-ROW(PaymentSchedule43[[#Headers],[PMT NO]])),"")</f>
        <v/>
      </c>
      <c r="C123" s="31" t="str">
        <f>IF(PaymentSchedule43[[#This Row],[PMT NO]]&lt;&gt;"",EOMONTH(LoanStartDate,ROW(PaymentSchedule43[[#This Row],[PMT NO]])-ROW(PaymentSchedule43[[#Headers],[PMT NO]])-2)+DAY(LoanStartDate),"")</f>
        <v/>
      </c>
      <c r="D12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23" s="32" t="str">
        <f>IF(PaymentSchedule43[[#This Row],[PMT NO]]&lt;&gt;"",ScheduledPayment,"")</f>
        <v/>
      </c>
      <c r="F12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2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23" s="32" t="str">
        <f>IF(PaymentSchedule43[[#This Row],[PMT NO]]&lt;&gt;"",PaymentSchedule43[[#This Row],[TOTAL PAYMENT]]-PaymentSchedule43[[#This Row],[INTEREST]],"")</f>
        <v/>
      </c>
      <c r="I123" s="32" t="str">
        <f>IF(PaymentSchedule43[[#This Row],[PMT NO]]&lt;&gt;"",PaymentSchedule43[[#This Row],[BEGINNING BALANCE]]*(InterestRate/PaymentsPerYear),"")</f>
        <v/>
      </c>
      <c r="J12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23" s="32" t="str">
        <f>IF(PaymentSchedule43[[#This Row],[PMT NO]]&lt;&gt;"",SUM(INDEX(PaymentSchedule43[INTEREST],1,1):PaymentSchedule43[[#This Row],[INTEREST]]),"")</f>
        <v/>
      </c>
    </row>
    <row r="124" spans="2:11" x14ac:dyDescent="0.3">
      <c r="B124" s="30" t="str">
        <f>IF(LoanIsGood,IF(ROW()-ROW(PaymentSchedule43[[#Headers],[PMT NO]])&gt;ScheduledNumberOfPayments,"",ROW()-ROW(PaymentSchedule43[[#Headers],[PMT NO]])),"")</f>
        <v/>
      </c>
      <c r="C124" s="31" t="str">
        <f>IF(PaymentSchedule43[[#This Row],[PMT NO]]&lt;&gt;"",EOMONTH(LoanStartDate,ROW(PaymentSchedule43[[#This Row],[PMT NO]])-ROW(PaymentSchedule43[[#Headers],[PMT NO]])-2)+DAY(LoanStartDate),"")</f>
        <v/>
      </c>
      <c r="D12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24" s="32" t="str">
        <f>IF(PaymentSchedule43[[#This Row],[PMT NO]]&lt;&gt;"",ScheduledPayment,"")</f>
        <v/>
      </c>
      <c r="F12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2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24" s="32" t="str">
        <f>IF(PaymentSchedule43[[#This Row],[PMT NO]]&lt;&gt;"",PaymentSchedule43[[#This Row],[TOTAL PAYMENT]]-PaymentSchedule43[[#This Row],[INTEREST]],"")</f>
        <v/>
      </c>
      <c r="I124" s="32" t="str">
        <f>IF(PaymentSchedule43[[#This Row],[PMT NO]]&lt;&gt;"",PaymentSchedule43[[#This Row],[BEGINNING BALANCE]]*(InterestRate/PaymentsPerYear),"")</f>
        <v/>
      </c>
      <c r="J12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24" s="32" t="str">
        <f>IF(PaymentSchedule43[[#This Row],[PMT NO]]&lt;&gt;"",SUM(INDEX(PaymentSchedule43[INTEREST],1,1):PaymentSchedule43[[#This Row],[INTEREST]]),"")</f>
        <v/>
      </c>
    </row>
    <row r="125" spans="2:11" x14ac:dyDescent="0.3">
      <c r="B125" s="30" t="str">
        <f>IF(LoanIsGood,IF(ROW()-ROW(PaymentSchedule43[[#Headers],[PMT NO]])&gt;ScheduledNumberOfPayments,"",ROW()-ROW(PaymentSchedule43[[#Headers],[PMT NO]])),"")</f>
        <v/>
      </c>
      <c r="C125" s="31" t="str">
        <f>IF(PaymentSchedule43[[#This Row],[PMT NO]]&lt;&gt;"",EOMONTH(LoanStartDate,ROW(PaymentSchedule43[[#This Row],[PMT NO]])-ROW(PaymentSchedule43[[#Headers],[PMT NO]])-2)+DAY(LoanStartDate),"")</f>
        <v/>
      </c>
      <c r="D12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25" s="32" t="str">
        <f>IF(PaymentSchedule43[[#This Row],[PMT NO]]&lt;&gt;"",ScheduledPayment,"")</f>
        <v/>
      </c>
      <c r="F12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2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25" s="32" t="str">
        <f>IF(PaymentSchedule43[[#This Row],[PMT NO]]&lt;&gt;"",PaymentSchedule43[[#This Row],[TOTAL PAYMENT]]-PaymentSchedule43[[#This Row],[INTEREST]],"")</f>
        <v/>
      </c>
      <c r="I125" s="32" t="str">
        <f>IF(PaymentSchedule43[[#This Row],[PMT NO]]&lt;&gt;"",PaymentSchedule43[[#This Row],[BEGINNING BALANCE]]*(InterestRate/PaymentsPerYear),"")</f>
        <v/>
      </c>
      <c r="J12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25" s="32" t="str">
        <f>IF(PaymentSchedule43[[#This Row],[PMT NO]]&lt;&gt;"",SUM(INDEX(PaymentSchedule43[INTEREST],1,1):PaymentSchedule43[[#This Row],[INTEREST]]),"")</f>
        <v/>
      </c>
    </row>
    <row r="126" spans="2:11" x14ac:dyDescent="0.3">
      <c r="B126" s="30" t="str">
        <f>IF(LoanIsGood,IF(ROW()-ROW(PaymentSchedule43[[#Headers],[PMT NO]])&gt;ScheduledNumberOfPayments,"",ROW()-ROW(PaymentSchedule43[[#Headers],[PMT NO]])),"")</f>
        <v/>
      </c>
      <c r="C126" s="31" t="str">
        <f>IF(PaymentSchedule43[[#This Row],[PMT NO]]&lt;&gt;"",EOMONTH(LoanStartDate,ROW(PaymentSchedule43[[#This Row],[PMT NO]])-ROW(PaymentSchedule43[[#Headers],[PMT NO]])-2)+DAY(LoanStartDate),"")</f>
        <v/>
      </c>
      <c r="D12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26" s="32" t="str">
        <f>IF(PaymentSchedule43[[#This Row],[PMT NO]]&lt;&gt;"",ScheduledPayment,"")</f>
        <v/>
      </c>
      <c r="F12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2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26" s="32" t="str">
        <f>IF(PaymentSchedule43[[#This Row],[PMT NO]]&lt;&gt;"",PaymentSchedule43[[#This Row],[TOTAL PAYMENT]]-PaymentSchedule43[[#This Row],[INTEREST]],"")</f>
        <v/>
      </c>
      <c r="I126" s="32" t="str">
        <f>IF(PaymentSchedule43[[#This Row],[PMT NO]]&lt;&gt;"",PaymentSchedule43[[#This Row],[BEGINNING BALANCE]]*(InterestRate/PaymentsPerYear),"")</f>
        <v/>
      </c>
      <c r="J12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26" s="32" t="str">
        <f>IF(PaymentSchedule43[[#This Row],[PMT NO]]&lt;&gt;"",SUM(INDEX(PaymentSchedule43[INTEREST],1,1):PaymentSchedule43[[#This Row],[INTEREST]]),"")</f>
        <v/>
      </c>
    </row>
    <row r="127" spans="2:11" x14ac:dyDescent="0.3">
      <c r="B127" s="30" t="str">
        <f>IF(LoanIsGood,IF(ROW()-ROW(PaymentSchedule43[[#Headers],[PMT NO]])&gt;ScheduledNumberOfPayments,"",ROW()-ROW(PaymentSchedule43[[#Headers],[PMT NO]])),"")</f>
        <v/>
      </c>
      <c r="C127" s="31" t="str">
        <f>IF(PaymentSchedule43[[#This Row],[PMT NO]]&lt;&gt;"",EOMONTH(LoanStartDate,ROW(PaymentSchedule43[[#This Row],[PMT NO]])-ROW(PaymentSchedule43[[#Headers],[PMT NO]])-2)+DAY(LoanStartDate),"")</f>
        <v/>
      </c>
      <c r="D12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27" s="32" t="str">
        <f>IF(PaymentSchedule43[[#This Row],[PMT NO]]&lt;&gt;"",ScheduledPayment,"")</f>
        <v/>
      </c>
      <c r="F12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2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27" s="32" t="str">
        <f>IF(PaymentSchedule43[[#This Row],[PMT NO]]&lt;&gt;"",PaymentSchedule43[[#This Row],[TOTAL PAYMENT]]-PaymentSchedule43[[#This Row],[INTEREST]],"")</f>
        <v/>
      </c>
      <c r="I127" s="32" t="str">
        <f>IF(PaymentSchedule43[[#This Row],[PMT NO]]&lt;&gt;"",PaymentSchedule43[[#This Row],[BEGINNING BALANCE]]*(InterestRate/PaymentsPerYear),"")</f>
        <v/>
      </c>
      <c r="J12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27" s="32" t="str">
        <f>IF(PaymentSchedule43[[#This Row],[PMT NO]]&lt;&gt;"",SUM(INDEX(PaymentSchedule43[INTEREST],1,1):PaymentSchedule43[[#This Row],[INTEREST]]),"")</f>
        <v/>
      </c>
    </row>
    <row r="128" spans="2:11" x14ac:dyDescent="0.3">
      <c r="B128" s="30" t="str">
        <f>IF(LoanIsGood,IF(ROW()-ROW(PaymentSchedule43[[#Headers],[PMT NO]])&gt;ScheduledNumberOfPayments,"",ROW()-ROW(PaymentSchedule43[[#Headers],[PMT NO]])),"")</f>
        <v/>
      </c>
      <c r="C128" s="31" t="str">
        <f>IF(PaymentSchedule43[[#This Row],[PMT NO]]&lt;&gt;"",EOMONTH(LoanStartDate,ROW(PaymentSchedule43[[#This Row],[PMT NO]])-ROW(PaymentSchedule43[[#Headers],[PMT NO]])-2)+DAY(LoanStartDate),"")</f>
        <v/>
      </c>
      <c r="D12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28" s="32" t="str">
        <f>IF(PaymentSchedule43[[#This Row],[PMT NO]]&lt;&gt;"",ScheduledPayment,"")</f>
        <v/>
      </c>
      <c r="F12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2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28" s="32" t="str">
        <f>IF(PaymentSchedule43[[#This Row],[PMT NO]]&lt;&gt;"",PaymentSchedule43[[#This Row],[TOTAL PAYMENT]]-PaymentSchedule43[[#This Row],[INTEREST]],"")</f>
        <v/>
      </c>
      <c r="I128" s="32" t="str">
        <f>IF(PaymentSchedule43[[#This Row],[PMT NO]]&lt;&gt;"",PaymentSchedule43[[#This Row],[BEGINNING BALANCE]]*(InterestRate/PaymentsPerYear),"")</f>
        <v/>
      </c>
      <c r="J12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28" s="32" t="str">
        <f>IF(PaymentSchedule43[[#This Row],[PMT NO]]&lt;&gt;"",SUM(INDEX(PaymentSchedule43[INTEREST],1,1):PaymentSchedule43[[#This Row],[INTEREST]]),"")</f>
        <v/>
      </c>
    </row>
    <row r="129" spans="2:11" x14ac:dyDescent="0.3">
      <c r="B129" s="30" t="str">
        <f>IF(LoanIsGood,IF(ROW()-ROW(PaymentSchedule43[[#Headers],[PMT NO]])&gt;ScheduledNumberOfPayments,"",ROW()-ROW(PaymentSchedule43[[#Headers],[PMT NO]])),"")</f>
        <v/>
      </c>
      <c r="C129" s="31" t="str">
        <f>IF(PaymentSchedule43[[#This Row],[PMT NO]]&lt;&gt;"",EOMONTH(LoanStartDate,ROW(PaymentSchedule43[[#This Row],[PMT NO]])-ROW(PaymentSchedule43[[#Headers],[PMT NO]])-2)+DAY(LoanStartDate),"")</f>
        <v/>
      </c>
      <c r="D12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29" s="32" t="str">
        <f>IF(PaymentSchedule43[[#This Row],[PMT NO]]&lt;&gt;"",ScheduledPayment,"")</f>
        <v/>
      </c>
      <c r="F12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2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29" s="32" t="str">
        <f>IF(PaymentSchedule43[[#This Row],[PMT NO]]&lt;&gt;"",PaymentSchedule43[[#This Row],[TOTAL PAYMENT]]-PaymentSchedule43[[#This Row],[INTEREST]],"")</f>
        <v/>
      </c>
      <c r="I129" s="32" t="str">
        <f>IF(PaymentSchedule43[[#This Row],[PMT NO]]&lt;&gt;"",PaymentSchedule43[[#This Row],[BEGINNING BALANCE]]*(InterestRate/PaymentsPerYear),"")</f>
        <v/>
      </c>
      <c r="J12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29" s="32" t="str">
        <f>IF(PaymentSchedule43[[#This Row],[PMT NO]]&lt;&gt;"",SUM(INDEX(PaymentSchedule43[INTEREST],1,1):PaymentSchedule43[[#This Row],[INTEREST]]),"")</f>
        <v/>
      </c>
    </row>
    <row r="130" spans="2:11" x14ac:dyDescent="0.3">
      <c r="B130" s="30" t="str">
        <f>IF(LoanIsGood,IF(ROW()-ROW(PaymentSchedule43[[#Headers],[PMT NO]])&gt;ScheduledNumberOfPayments,"",ROW()-ROW(PaymentSchedule43[[#Headers],[PMT NO]])),"")</f>
        <v/>
      </c>
      <c r="C130" s="31" t="str">
        <f>IF(PaymentSchedule43[[#This Row],[PMT NO]]&lt;&gt;"",EOMONTH(LoanStartDate,ROW(PaymentSchedule43[[#This Row],[PMT NO]])-ROW(PaymentSchedule43[[#Headers],[PMT NO]])-2)+DAY(LoanStartDate),"")</f>
        <v/>
      </c>
      <c r="D13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30" s="32" t="str">
        <f>IF(PaymentSchedule43[[#This Row],[PMT NO]]&lt;&gt;"",ScheduledPayment,"")</f>
        <v/>
      </c>
      <c r="F13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3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30" s="32" t="str">
        <f>IF(PaymentSchedule43[[#This Row],[PMT NO]]&lt;&gt;"",PaymentSchedule43[[#This Row],[TOTAL PAYMENT]]-PaymentSchedule43[[#This Row],[INTEREST]],"")</f>
        <v/>
      </c>
      <c r="I130" s="32" t="str">
        <f>IF(PaymentSchedule43[[#This Row],[PMT NO]]&lt;&gt;"",PaymentSchedule43[[#This Row],[BEGINNING BALANCE]]*(InterestRate/PaymentsPerYear),"")</f>
        <v/>
      </c>
      <c r="J13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30" s="32" t="str">
        <f>IF(PaymentSchedule43[[#This Row],[PMT NO]]&lt;&gt;"",SUM(INDEX(PaymentSchedule43[INTEREST],1,1):PaymentSchedule43[[#This Row],[INTEREST]]),"")</f>
        <v/>
      </c>
    </row>
    <row r="131" spans="2:11" x14ac:dyDescent="0.3">
      <c r="B131" s="30" t="str">
        <f>IF(LoanIsGood,IF(ROW()-ROW(PaymentSchedule43[[#Headers],[PMT NO]])&gt;ScheduledNumberOfPayments,"",ROW()-ROW(PaymentSchedule43[[#Headers],[PMT NO]])),"")</f>
        <v/>
      </c>
      <c r="C131" s="31" t="str">
        <f>IF(PaymentSchedule43[[#This Row],[PMT NO]]&lt;&gt;"",EOMONTH(LoanStartDate,ROW(PaymentSchedule43[[#This Row],[PMT NO]])-ROW(PaymentSchedule43[[#Headers],[PMT NO]])-2)+DAY(LoanStartDate),"")</f>
        <v/>
      </c>
      <c r="D13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31" s="32" t="str">
        <f>IF(PaymentSchedule43[[#This Row],[PMT NO]]&lt;&gt;"",ScheduledPayment,"")</f>
        <v/>
      </c>
      <c r="F13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3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31" s="32" t="str">
        <f>IF(PaymentSchedule43[[#This Row],[PMT NO]]&lt;&gt;"",PaymentSchedule43[[#This Row],[TOTAL PAYMENT]]-PaymentSchedule43[[#This Row],[INTEREST]],"")</f>
        <v/>
      </c>
      <c r="I131" s="32" t="str">
        <f>IF(PaymentSchedule43[[#This Row],[PMT NO]]&lt;&gt;"",PaymentSchedule43[[#This Row],[BEGINNING BALANCE]]*(InterestRate/PaymentsPerYear),"")</f>
        <v/>
      </c>
      <c r="J13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31" s="32" t="str">
        <f>IF(PaymentSchedule43[[#This Row],[PMT NO]]&lt;&gt;"",SUM(INDEX(PaymentSchedule43[INTEREST],1,1):PaymentSchedule43[[#This Row],[INTEREST]]),"")</f>
        <v/>
      </c>
    </row>
    <row r="132" spans="2:11" x14ac:dyDescent="0.3">
      <c r="B132" s="30" t="str">
        <f>IF(LoanIsGood,IF(ROW()-ROW(PaymentSchedule43[[#Headers],[PMT NO]])&gt;ScheduledNumberOfPayments,"",ROW()-ROW(PaymentSchedule43[[#Headers],[PMT NO]])),"")</f>
        <v/>
      </c>
      <c r="C132" s="31" t="str">
        <f>IF(PaymentSchedule43[[#This Row],[PMT NO]]&lt;&gt;"",EOMONTH(LoanStartDate,ROW(PaymentSchedule43[[#This Row],[PMT NO]])-ROW(PaymentSchedule43[[#Headers],[PMT NO]])-2)+DAY(LoanStartDate),"")</f>
        <v/>
      </c>
      <c r="D13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32" s="32" t="str">
        <f>IF(PaymentSchedule43[[#This Row],[PMT NO]]&lt;&gt;"",ScheduledPayment,"")</f>
        <v/>
      </c>
      <c r="F13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3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32" s="32" t="str">
        <f>IF(PaymentSchedule43[[#This Row],[PMT NO]]&lt;&gt;"",PaymentSchedule43[[#This Row],[TOTAL PAYMENT]]-PaymentSchedule43[[#This Row],[INTEREST]],"")</f>
        <v/>
      </c>
      <c r="I132" s="32" t="str">
        <f>IF(PaymentSchedule43[[#This Row],[PMT NO]]&lt;&gt;"",PaymentSchedule43[[#This Row],[BEGINNING BALANCE]]*(InterestRate/PaymentsPerYear),"")</f>
        <v/>
      </c>
      <c r="J13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32" s="32" t="str">
        <f>IF(PaymentSchedule43[[#This Row],[PMT NO]]&lt;&gt;"",SUM(INDEX(PaymentSchedule43[INTEREST],1,1):PaymentSchedule43[[#This Row],[INTEREST]]),"")</f>
        <v/>
      </c>
    </row>
    <row r="133" spans="2:11" x14ac:dyDescent="0.3">
      <c r="B133" s="30" t="str">
        <f>IF(LoanIsGood,IF(ROW()-ROW(PaymentSchedule43[[#Headers],[PMT NO]])&gt;ScheduledNumberOfPayments,"",ROW()-ROW(PaymentSchedule43[[#Headers],[PMT NO]])),"")</f>
        <v/>
      </c>
      <c r="C133" s="31" t="str">
        <f>IF(PaymentSchedule43[[#This Row],[PMT NO]]&lt;&gt;"",EOMONTH(LoanStartDate,ROW(PaymentSchedule43[[#This Row],[PMT NO]])-ROW(PaymentSchedule43[[#Headers],[PMT NO]])-2)+DAY(LoanStartDate),"")</f>
        <v/>
      </c>
      <c r="D13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33" s="32" t="str">
        <f>IF(PaymentSchedule43[[#This Row],[PMT NO]]&lt;&gt;"",ScheduledPayment,"")</f>
        <v/>
      </c>
      <c r="F13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3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33" s="32" t="str">
        <f>IF(PaymentSchedule43[[#This Row],[PMT NO]]&lt;&gt;"",PaymentSchedule43[[#This Row],[TOTAL PAYMENT]]-PaymentSchedule43[[#This Row],[INTEREST]],"")</f>
        <v/>
      </c>
      <c r="I133" s="32" t="str">
        <f>IF(PaymentSchedule43[[#This Row],[PMT NO]]&lt;&gt;"",PaymentSchedule43[[#This Row],[BEGINNING BALANCE]]*(InterestRate/PaymentsPerYear),"")</f>
        <v/>
      </c>
      <c r="J13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33" s="32" t="str">
        <f>IF(PaymentSchedule43[[#This Row],[PMT NO]]&lt;&gt;"",SUM(INDEX(PaymentSchedule43[INTEREST],1,1):PaymentSchedule43[[#This Row],[INTEREST]]),"")</f>
        <v/>
      </c>
    </row>
    <row r="134" spans="2:11" x14ac:dyDescent="0.3">
      <c r="B134" s="30" t="str">
        <f>IF(LoanIsGood,IF(ROW()-ROW(PaymentSchedule43[[#Headers],[PMT NO]])&gt;ScheduledNumberOfPayments,"",ROW()-ROW(PaymentSchedule43[[#Headers],[PMT NO]])),"")</f>
        <v/>
      </c>
      <c r="C134" s="31" t="str">
        <f>IF(PaymentSchedule43[[#This Row],[PMT NO]]&lt;&gt;"",EOMONTH(LoanStartDate,ROW(PaymentSchedule43[[#This Row],[PMT NO]])-ROW(PaymentSchedule43[[#Headers],[PMT NO]])-2)+DAY(LoanStartDate),"")</f>
        <v/>
      </c>
      <c r="D13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34" s="32" t="str">
        <f>IF(PaymentSchedule43[[#This Row],[PMT NO]]&lt;&gt;"",ScheduledPayment,"")</f>
        <v/>
      </c>
      <c r="F13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3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34" s="32" t="str">
        <f>IF(PaymentSchedule43[[#This Row],[PMT NO]]&lt;&gt;"",PaymentSchedule43[[#This Row],[TOTAL PAYMENT]]-PaymentSchedule43[[#This Row],[INTEREST]],"")</f>
        <v/>
      </c>
      <c r="I134" s="32" t="str">
        <f>IF(PaymentSchedule43[[#This Row],[PMT NO]]&lt;&gt;"",PaymentSchedule43[[#This Row],[BEGINNING BALANCE]]*(InterestRate/PaymentsPerYear),"")</f>
        <v/>
      </c>
      <c r="J13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34" s="32" t="str">
        <f>IF(PaymentSchedule43[[#This Row],[PMT NO]]&lt;&gt;"",SUM(INDEX(PaymentSchedule43[INTEREST],1,1):PaymentSchedule43[[#This Row],[INTEREST]]),"")</f>
        <v/>
      </c>
    </row>
    <row r="135" spans="2:11" x14ac:dyDescent="0.3">
      <c r="B135" s="30" t="str">
        <f>IF(LoanIsGood,IF(ROW()-ROW(PaymentSchedule43[[#Headers],[PMT NO]])&gt;ScheduledNumberOfPayments,"",ROW()-ROW(PaymentSchedule43[[#Headers],[PMT NO]])),"")</f>
        <v/>
      </c>
      <c r="C135" s="31" t="str">
        <f>IF(PaymentSchedule43[[#This Row],[PMT NO]]&lt;&gt;"",EOMONTH(LoanStartDate,ROW(PaymentSchedule43[[#This Row],[PMT NO]])-ROW(PaymentSchedule43[[#Headers],[PMT NO]])-2)+DAY(LoanStartDate),"")</f>
        <v/>
      </c>
      <c r="D13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35" s="32" t="str">
        <f>IF(PaymentSchedule43[[#This Row],[PMT NO]]&lt;&gt;"",ScheduledPayment,"")</f>
        <v/>
      </c>
      <c r="F13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3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35" s="32" t="str">
        <f>IF(PaymentSchedule43[[#This Row],[PMT NO]]&lt;&gt;"",PaymentSchedule43[[#This Row],[TOTAL PAYMENT]]-PaymentSchedule43[[#This Row],[INTEREST]],"")</f>
        <v/>
      </c>
      <c r="I135" s="32" t="str">
        <f>IF(PaymentSchedule43[[#This Row],[PMT NO]]&lt;&gt;"",PaymentSchedule43[[#This Row],[BEGINNING BALANCE]]*(InterestRate/PaymentsPerYear),"")</f>
        <v/>
      </c>
      <c r="J13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35" s="32" t="str">
        <f>IF(PaymentSchedule43[[#This Row],[PMT NO]]&lt;&gt;"",SUM(INDEX(PaymentSchedule43[INTEREST],1,1):PaymentSchedule43[[#This Row],[INTEREST]]),"")</f>
        <v/>
      </c>
    </row>
    <row r="136" spans="2:11" x14ac:dyDescent="0.3">
      <c r="B136" s="30" t="str">
        <f>IF(LoanIsGood,IF(ROW()-ROW(PaymentSchedule43[[#Headers],[PMT NO]])&gt;ScheduledNumberOfPayments,"",ROW()-ROW(PaymentSchedule43[[#Headers],[PMT NO]])),"")</f>
        <v/>
      </c>
      <c r="C136" s="31" t="str">
        <f>IF(PaymentSchedule43[[#This Row],[PMT NO]]&lt;&gt;"",EOMONTH(LoanStartDate,ROW(PaymentSchedule43[[#This Row],[PMT NO]])-ROW(PaymentSchedule43[[#Headers],[PMT NO]])-2)+DAY(LoanStartDate),"")</f>
        <v/>
      </c>
      <c r="D13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36" s="32" t="str">
        <f>IF(PaymentSchedule43[[#This Row],[PMT NO]]&lt;&gt;"",ScheduledPayment,"")</f>
        <v/>
      </c>
      <c r="F13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3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36" s="32" t="str">
        <f>IF(PaymentSchedule43[[#This Row],[PMT NO]]&lt;&gt;"",PaymentSchedule43[[#This Row],[TOTAL PAYMENT]]-PaymentSchedule43[[#This Row],[INTEREST]],"")</f>
        <v/>
      </c>
      <c r="I136" s="32" t="str">
        <f>IF(PaymentSchedule43[[#This Row],[PMT NO]]&lt;&gt;"",PaymentSchedule43[[#This Row],[BEGINNING BALANCE]]*(InterestRate/PaymentsPerYear),"")</f>
        <v/>
      </c>
      <c r="J13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36" s="32" t="str">
        <f>IF(PaymentSchedule43[[#This Row],[PMT NO]]&lt;&gt;"",SUM(INDEX(PaymentSchedule43[INTEREST],1,1):PaymentSchedule43[[#This Row],[INTEREST]]),"")</f>
        <v/>
      </c>
    </row>
    <row r="137" spans="2:11" x14ac:dyDescent="0.3">
      <c r="B137" s="30" t="str">
        <f>IF(LoanIsGood,IF(ROW()-ROW(PaymentSchedule43[[#Headers],[PMT NO]])&gt;ScheduledNumberOfPayments,"",ROW()-ROW(PaymentSchedule43[[#Headers],[PMT NO]])),"")</f>
        <v/>
      </c>
      <c r="C137" s="31" t="str">
        <f>IF(PaymentSchedule43[[#This Row],[PMT NO]]&lt;&gt;"",EOMONTH(LoanStartDate,ROW(PaymentSchedule43[[#This Row],[PMT NO]])-ROW(PaymentSchedule43[[#Headers],[PMT NO]])-2)+DAY(LoanStartDate),"")</f>
        <v/>
      </c>
      <c r="D13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37" s="32" t="str">
        <f>IF(PaymentSchedule43[[#This Row],[PMT NO]]&lt;&gt;"",ScheduledPayment,"")</f>
        <v/>
      </c>
      <c r="F13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3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37" s="32" t="str">
        <f>IF(PaymentSchedule43[[#This Row],[PMT NO]]&lt;&gt;"",PaymentSchedule43[[#This Row],[TOTAL PAYMENT]]-PaymentSchedule43[[#This Row],[INTEREST]],"")</f>
        <v/>
      </c>
      <c r="I137" s="32" t="str">
        <f>IF(PaymentSchedule43[[#This Row],[PMT NO]]&lt;&gt;"",PaymentSchedule43[[#This Row],[BEGINNING BALANCE]]*(InterestRate/PaymentsPerYear),"")</f>
        <v/>
      </c>
      <c r="J13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37" s="32" t="str">
        <f>IF(PaymentSchedule43[[#This Row],[PMT NO]]&lt;&gt;"",SUM(INDEX(PaymentSchedule43[INTEREST],1,1):PaymentSchedule43[[#This Row],[INTEREST]]),"")</f>
        <v/>
      </c>
    </row>
    <row r="138" spans="2:11" x14ac:dyDescent="0.3">
      <c r="B138" s="30" t="str">
        <f>IF(LoanIsGood,IF(ROW()-ROW(PaymentSchedule43[[#Headers],[PMT NO]])&gt;ScheduledNumberOfPayments,"",ROW()-ROW(PaymentSchedule43[[#Headers],[PMT NO]])),"")</f>
        <v/>
      </c>
      <c r="C138" s="31" t="str">
        <f>IF(PaymentSchedule43[[#This Row],[PMT NO]]&lt;&gt;"",EOMONTH(LoanStartDate,ROW(PaymentSchedule43[[#This Row],[PMT NO]])-ROW(PaymentSchedule43[[#Headers],[PMT NO]])-2)+DAY(LoanStartDate),"")</f>
        <v/>
      </c>
      <c r="D13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38" s="32" t="str">
        <f>IF(PaymentSchedule43[[#This Row],[PMT NO]]&lt;&gt;"",ScheduledPayment,"")</f>
        <v/>
      </c>
      <c r="F13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3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38" s="32" t="str">
        <f>IF(PaymentSchedule43[[#This Row],[PMT NO]]&lt;&gt;"",PaymentSchedule43[[#This Row],[TOTAL PAYMENT]]-PaymentSchedule43[[#This Row],[INTEREST]],"")</f>
        <v/>
      </c>
      <c r="I138" s="32" t="str">
        <f>IF(PaymentSchedule43[[#This Row],[PMT NO]]&lt;&gt;"",PaymentSchedule43[[#This Row],[BEGINNING BALANCE]]*(InterestRate/PaymentsPerYear),"")</f>
        <v/>
      </c>
      <c r="J13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38" s="32" t="str">
        <f>IF(PaymentSchedule43[[#This Row],[PMT NO]]&lt;&gt;"",SUM(INDEX(PaymentSchedule43[INTEREST],1,1):PaymentSchedule43[[#This Row],[INTEREST]]),"")</f>
        <v/>
      </c>
    </row>
    <row r="139" spans="2:11" x14ac:dyDescent="0.3">
      <c r="B139" s="30" t="str">
        <f>IF(LoanIsGood,IF(ROW()-ROW(PaymentSchedule43[[#Headers],[PMT NO]])&gt;ScheduledNumberOfPayments,"",ROW()-ROW(PaymentSchedule43[[#Headers],[PMT NO]])),"")</f>
        <v/>
      </c>
      <c r="C139" s="31" t="str">
        <f>IF(PaymentSchedule43[[#This Row],[PMT NO]]&lt;&gt;"",EOMONTH(LoanStartDate,ROW(PaymentSchedule43[[#This Row],[PMT NO]])-ROW(PaymentSchedule43[[#Headers],[PMT NO]])-2)+DAY(LoanStartDate),"")</f>
        <v/>
      </c>
      <c r="D13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39" s="32" t="str">
        <f>IF(PaymentSchedule43[[#This Row],[PMT NO]]&lt;&gt;"",ScheduledPayment,"")</f>
        <v/>
      </c>
      <c r="F13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3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39" s="32" t="str">
        <f>IF(PaymentSchedule43[[#This Row],[PMT NO]]&lt;&gt;"",PaymentSchedule43[[#This Row],[TOTAL PAYMENT]]-PaymentSchedule43[[#This Row],[INTEREST]],"")</f>
        <v/>
      </c>
      <c r="I139" s="32" t="str">
        <f>IF(PaymentSchedule43[[#This Row],[PMT NO]]&lt;&gt;"",PaymentSchedule43[[#This Row],[BEGINNING BALANCE]]*(InterestRate/PaymentsPerYear),"")</f>
        <v/>
      </c>
      <c r="J13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39" s="32" t="str">
        <f>IF(PaymentSchedule43[[#This Row],[PMT NO]]&lt;&gt;"",SUM(INDEX(PaymentSchedule43[INTEREST],1,1):PaymentSchedule43[[#This Row],[INTEREST]]),"")</f>
        <v/>
      </c>
    </row>
    <row r="140" spans="2:11" x14ac:dyDescent="0.3">
      <c r="B140" s="30" t="str">
        <f>IF(LoanIsGood,IF(ROW()-ROW(PaymentSchedule43[[#Headers],[PMT NO]])&gt;ScheduledNumberOfPayments,"",ROW()-ROW(PaymentSchedule43[[#Headers],[PMT NO]])),"")</f>
        <v/>
      </c>
      <c r="C140" s="31" t="str">
        <f>IF(PaymentSchedule43[[#This Row],[PMT NO]]&lt;&gt;"",EOMONTH(LoanStartDate,ROW(PaymentSchedule43[[#This Row],[PMT NO]])-ROW(PaymentSchedule43[[#Headers],[PMT NO]])-2)+DAY(LoanStartDate),"")</f>
        <v/>
      </c>
      <c r="D14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40" s="32" t="str">
        <f>IF(PaymentSchedule43[[#This Row],[PMT NO]]&lt;&gt;"",ScheduledPayment,"")</f>
        <v/>
      </c>
      <c r="F14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4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40" s="32" t="str">
        <f>IF(PaymentSchedule43[[#This Row],[PMT NO]]&lt;&gt;"",PaymentSchedule43[[#This Row],[TOTAL PAYMENT]]-PaymentSchedule43[[#This Row],[INTEREST]],"")</f>
        <v/>
      </c>
      <c r="I140" s="32" t="str">
        <f>IF(PaymentSchedule43[[#This Row],[PMT NO]]&lt;&gt;"",PaymentSchedule43[[#This Row],[BEGINNING BALANCE]]*(InterestRate/PaymentsPerYear),"")</f>
        <v/>
      </c>
      <c r="J14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40" s="32" t="str">
        <f>IF(PaymentSchedule43[[#This Row],[PMT NO]]&lt;&gt;"",SUM(INDEX(PaymentSchedule43[INTEREST],1,1):PaymentSchedule43[[#This Row],[INTEREST]]),"")</f>
        <v/>
      </c>
    </row>
    <row r="141" spans="2:11" x14ac:dyDescent="0.3">
      <c r="B141" s="30" t="str">
        <f>IF(LoanIsGood,IF(ROW()-ROW(PaymentSchedule43[[#Headers],[PMT NO]])&gt;ScheduledNumberOfPayments,"",ROW()-ROW(PaymentSchedule43[[#Headers],[PMT NO]])),"")</f>
        <v/>
      </c>
      <c r="C141" s="31" t="str">
        <f>IF(PaymentSchedule43[[#This Row],[PMT NO]]&lt;&gt;"",EOMONTH(LoanStartDate,ROW(PaymentSchedule43[[#This Row],[PMT NO]])-ROW(PaymentSchedule43[[#Headers],[PMT NO]])-2)+DAY(LoanStartDate),"")</f>
        <v/>
      </c>
      <c r="D14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41" s="32" t="str">
        <f>IF(PaymentSchedule43[[#This Row],[PMT NO]]&lt;&gt;"",ScheduledPayment,"")</f>
        <v/>
      </c>
      <c r="F14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4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41" s="32" t="str">
        <f>IF(PaymentSchedule43[[#This Row],[PMT NO]]&lt;&gt;"",PaymentSchedule43[[#This Row],[TOTAL PAYMENT]]-PaymentSchedule43[[#This Row],[INTEREST]],"")</f>
        <v/>
      </c>
      <c r="I141" s="32" t="str">
        <f>IF(PaymentSchedule43[[#This Row],[PMT NO]]&lt;&gt;"",PaymentSchedule43[[#This Row],[BEGINNING BALANCE]]*(InterestRate/PaymentsPerYear),"")</f>
        <v/>
      </c>
      <c r="J14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41" s="32" t="str">
        <f>IF(PaymentSchedule43[[#This Row],[PMT NO]]&lt;&gt;"",SUM(INDEX(PaymentSchedule43[INTEREST],1,1):PaymentSchedule43[[#This Row],[INTEREST]]),"")</f>
        <v/>
      </c>
    </row>
    <row r="142" spans="2:11" x14ac:dyDescent="0.3">
      <c r="B142" s="30" t="str">
        <f>IF(LoanIsGood,IF(ROW()-ROW(PaymentSchedule43[[#Headers],[PMT NO]])&gt;ScheduledNumberOfPayments,"",ROW()-ROW(PaymentSchedule43[[#Headers],[PMT NO]])),"")</f>
        <v/>
      </c>
      <c r="C142" s="31" t="str">
        <f>IF(PaymentSchedule43[[#This Row],[PMT NO]]&lt;&gt;"",EOMONTH(LoanStartDate,ROW(PaymentSchedule43[[#This Row],[PMT NO]])-ROW(PaymentSchedule43[[#Headers],[PMT NO]])-2)+DAY(LoanStartDate),"")</f>
        <v/>
      </c>
      <c r="D14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42" s="32" t="str">
        <f>IF(PaymentSchedule43[[#This Row],[PMT NO]]&lt;&gt;"",ScheduledPayment,"")</f>
        <v/>
      </c>
      <c r="F14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4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42" s="32" t="str">
        <f>IF(PaymentSchedule43[[#This Row],[PMT NO]]&lt;&gt;"",PaymentSchedule43[[#This Row],[TOTAL PAYMENT]]-PaymentSchedule43[[#This Row],[INTEREST]],"")</f>
        <v/>
      </c>
      <c r="I142" s="32" t="str">
        <f>IF(PaymentSchedule43[[#This Row],[PMT NO]]&lt;&gt;"",PaymentSchedule43[[#This Row],[BEGINNING BALANCE]]*(InterestRate/PaymentsPerYear),"")</f>
        <v/>
      </c>
      <c r="J14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42" s="32" t="str">
        <f>IF(PaymentSchedule43[[#This Row],[PMT NO]]&lt;&gt;"",SUM(INDEX(PaymentSchedule43[INTEREST],1,1):PaymentSchedule43[[#This Row],[INTEREST]]),"")</f>
        <v/>
      </c>
    </row>
    <row r="143" spans="2:11" x14ac:dyDescent="0.3">
      <c r="B143" s="30" t="str">
        <f>IF(LoanIsGood,IF(ROW()-ROW(PaymentSchedule43[[#Headers],[PMT NO]])&gt;ScheduledNumberOfPayments,"",ROW()-ROW(PaymentSchedule43[[#Headers],[PMT NO]])),"")</f>
        <v/>
      </c>
      <c r="C143" s="31" t="str">
        <f>IF(PaymentSchedule43[[#This Row],[PMT NO]]&lt;&gt;"",EOMONTH(LoanStartDate,ROW(PaymentSchedule43[[#This Row],[PMT NO]])-ROW(PaymentSchedule43[[#Headers],[PMT NO]])-2)+DAY(LoanStartDate),"")</f>
        <v/>
      </c>
      <c r="D14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43" s="32" t="str">
        <f>IF(PaymentSchedule43[[#This Row],[PMT NO]]&lt;&gt;"",ScheduledPayment,"")</f>
        <v/>
      </c>
      <c r="F14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4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43" s="32" t="str">
        <f>IF(PaymentSchedule43[[#This Row],[PMT NO]]&lt;&gt;"",PaymentSchedule43[[#This Row],[TOTAL PAYMENT]]-PaymentSchedule43[[#This Row],[INTEREST]],"")</f>
        <v/>
      </c>
      <c r="I143" s="32" t="str">
        <f>IF(PaymentSchedule43[[#This Row],[PMT NO]]&lt;&gt;"",PaymentSchedule43[[#This Row],[BEGINNING BALANCE]]*(InterestRate/PaymentsPerYear),"")</f>
        <v/>
      </c>
      <c r="J14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43" s="32" t="str">
        <f>IF(PaymentSchedule43[[#This Row],[PMT NO]]&lt;&gt;"",SUM(INDEX(PaymentSchedule43[INTEREST],1,1):PaymentSchedule43[[#This Row],[INTEREST]]),"")</f>
        <v/>
      </c>
    </row>
    <row r="144" spans="2:11" x14ac:dyDescent="0.3">
      <c r="B144" s="30" t="str">
        <f>IF(LoanIsGood,IF(ROW()-ROW(PaymentSchedule43[[#Headers],[PMT NO]])&gt;ScheduledNumberOfPayments,"",ROW()-ROW(PaymentSchedule43[[#Headers],[PMT NO]])),"")</f>
        <v/>
      </c>
      <c r="C144" s="31" t="str">
        <f>IF(PaymentSchedule43[[#This Row],[PMT NO]]&lt;&gt;"",EOMONTH(LoanStartDate,ROW(PaymentSchedule43[[#This Row],[PMT NO]])-ROW(PaymentSchedule43[[#Headers],[PMT NO]])-2)+DAY(LoanStartDate),"")</f>
        <v/>
      </c>
      <c r="D14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44" s="32" t="str">
        <f>IF(PaymentSchedule43[[#This Row],[PMT NO]]&lt;&gt;"",ScheduledPayment,"")</f>
        <v/>
      </c>
      <c r="F14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4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44" s="32" t="str">
        <f>IF(PaymentSchedule43[[#This Row],[PMT NO]]&lt;&gt;"",PaymentSchedule43[[#This Row],[TOTAL PAYMENT]]-PaymentSchedule43[[#This Row],[INTEREST]],"")</f>
        <v/>
      </c>
      <c r="I144" s="32" t="str">
        <f>IF(PaymentSchedule43[[#This Row],[PMT NO]]&lt;&gt;"",PaymentSchedule43[[#This Row],[BEGINNING BALANCE]]*(InterestRate/PaymentsPerYear),"")</f>
        <v/>
      </c>
      <c r="J14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44" s="32" t="str">
        <f>IF(PaymentSchedule43[[#This Row],[PMT NO]]&lt;&gt;"",SUM(INDEX(PaymentSchedule43[INTEREST],1,1):PaymentSchedule43[[#This Row],[INTEREST]]),"")</f>
        <v/>
      </c>
    </row>
    <row r="145" spans="2:11" x14ac:dyDescent="0.3">
      <c r="B145" s="30" t="str">
        <f>IF(LoanIsGood,IF(ROW()-ROW(PaymentSchedule43[[#Headers],[PMT NO]])&gt;ScheduledNumberOfPayments,"",ROW()-ROW(PaymentSchedule43[[#Headers],[PMT NO]])),"")</f>
        <v/>
      </c>
      <c r="C145" s="31" t="str">
        <f>IF(PaymentSchedule43[[#This Row],[PMT NO]]&lt;&gt;"",EOMONTH(LoanStartDate,ROW(PaymentSchedule43[[#This Row],[PMT NO]])-ROW(PaymentSchedule43[[#Headers],[PMT NO]])-2)+DAY(LoanStartDate),"")</f>
        <v/>
      </c>
      <c r="D14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45" s="32" t="str">
        <f>IF(PaymentSchedule43[[#This Row],[PMT NO]]&lt;&gt;"",ScheduledPayment,"")</f>
        <v/>
      </c>
      <c r="F14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4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45" s="32" t="str">
        <f>IF(PaymentSchedule43[[#This Row],[PMT NO]]&lt;&gt;"",PaymentSchedule43[[#This Row],[TOTAL PAYMENT]]-PaymentSchedule43[[#This Row],[INTEREST]],"")</f>
        <v/>
      </c>
      <c r="I145" s="32" t="str">
        <f>IF(PaymentSchedule43[[#This Row],[PMT NO]]&lt;&gt;"",PaymentSchedule43[[#This Row],[BEGINNING BALANCE]]*(InterestRate/PaymentsPerYear),"")</f>
        <v/>
      </c>
      <c r="J14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45" s="32" t="str">
        <f>IF(PaymentSchedule43[[#This Row],[PMT NO]]&lt;&gt;"",SUM(INDEX(PaymentSchedule43[INTEREST],1,1):PaymentSchedule43[[#This Row],[INTEREST]]),"")</f>
        <v/>
      </c>
    </row>
    <row r="146" spans="2:11" x14ac:dyDescent="0.3">
      <c r="B146" s="30" t="str">
        <f>IF(LoanIsGood,IF(ROW()-ROW(PaymentSchedule43[[#Headers],[PMT NO]])&gt;ScheduledNumberOfPayments,"",ROW()-ROW(PaymentSchedule43[[#Headers],[PMT NO]])),"")</f>
        <v/>
      </c>
      <c r="C146" s="31" t="str">
        <f>IF(PaymentSchedule43[[#This Row],[PMT NO]]&lt;&gt;"",EOMONTH(LoanStartDate,ROW(PaymentSchedule43[[#This Row],[PMT NO]])-ROW(PaymentSchedule43[[#Headers],[PMT NO]])-2)+DAY(LoanStartDate),"")</f>
        <v/>
      </c>
      <c r="D14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46" s="32" t="str">
        <f>IF(PaymentSchedule43[[#This Row],[PMT NO]]&lt;&gt;"",ScheduledPayment,"")</f>
        <v/>
      </c>
      <c r="F14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4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46" s="32" t="str">
        <f>IF(PaymentSchedule43[[#This Row],[PMT NO]]&lt;&gt;"",PaymentSchedule43[[#This Row],[TOTAL PAYMENT]]-PaymentSchedule43[[#This Row],[INTEREST]],"")</f>
        <v/>
      </c>
      <c r="I146" s="32" t="str">
        <f>IF(PaymentSchedule43[[#This Row],[PMT NO]]&lt;&gt;"",PaymentSchedule43[[#This Row],[BEGINNING BALANCE]]*(InterestRate/PaymentsPerYear),"")</f>
        <v/>
      </c>
      <c r="J14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46" s="32" t="str">
        <f>IF(PaymentSchedule43[[#This Row],[PMT NO]]&lt;&gt;"",SUM(INDEX(PaymentSchedule43[INTEREST],1,1):PaymentSchedule43[[#This Row],[INTEREST]]),"")</f>
        <v/>
      </c>
    </row>
    <row r="147" spans="2:11" x14ac:dyDescent="0.3">
      <c r="B147" s="30" t="str">
        <f>IF(LoanIsGood,IF(ROW()-ROW(PaymentSchedule43[[#Headers],[PMT NO]])&gt;ScheduledNumberOfPayments,"",ROW()-ROW(PaymentSchedule43[[#Headers],[PMT NO]])),"")</f>
        <v/>
      </c>
      <c r="C147" s="31" t="str">
        <f>IF(PaymentSchedule43[[#This Row],[PMT NO]]&lt;&gt;"",EOMONTH(LoanStartDate,ROW(PaymentSchedule43[[#This Row],[PMT NO]])-ROW(PaymentSchedule43[[#Headers],[PMT NO]])-2)+DAY(LoanStartDate),"")</f>
        <v/>
      </c>
      <c r="D14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47" s="32" t="str">
        <f>IF(PaymentSchedule43[[#This Row],[PMT NO]]&lt;&gt;"",ScheduledPayment,"")</f>
        <v/>
      </c>
      <c r="F14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4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47" s="32" t="str">
        <f>IF(PaymentSchedule43[[#This Row],[PMT NO]]&lt;&gt;"",PaymentSchedule43[[#This Row],[TOTAL PAYMENT]]-PaymentSchedule43[[#This Row],[INTEREST]],"")</f>
        <v/>
      </c>
      <c r="I147" s="32" t="str">
        <f>IF(PaymentSchedule43[[#This Row],[PMT NO]]&lt;&gt;"",PaymentSchedule43[[#This Row],[BEGINNING BALANCE]]*(InterestRate/PaymentsPerYear),"")</f>
        <v/>
      </c>
      <c r="J14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47" s="32" t="str">
        <f>IF(PaymentSchedule43[[#This Row],[PMT NO]]&lt;&gt;"",SUM(INDEX(PaymentSchedule43[INTEREST],1,1):PaymentSchedule43[[#This Row],[INTEREST]]),"")</f>
        <v/>
      </c>
    </row>
    <row r="148" spans="2:11" x14ac:dyDescent="0.3">
      <c r="B148" s="30" t="str">
        <f>IF(LoanIsGood,IF(ROW()-ROW(PaymentSchedule43[[#Headers],[PMT NO]])&gt;ScheduledNumberOfPayments,"",ROW()-ROW(PaymentSchedule43[[#Headers],[PMT NO]])),"")</f>
        <v/>
      </c>
      <c r="C148" s="31" t="str">
        <f>IF(PaymentSchedule43[[#This Row],[PMT NO]]&lt;&gt;"",EOMONTH(LoanStartDate,ROW(PaymentSchedule43[[#This Row],[PMT NO]])-ROW(PaymentSchedule43[[#Headers],[PMT NO]])-2)+DAY(LoanStartDate),"")</f>
        <v/>
      </c>
      <c r="D14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48" s="32" t="str">
        <f>IF(PaymentSchedule43[[#This Row],[PMT NO]]&lt;&gt;"",ScheduledPayment,"")</f>
        <v/>
      </c>
      <c r="F14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4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48" s="32" t="str">
        <f>IF(PaymentSchedule43[[#This Row],[PMT NO]]&lt;&gt;"",PaymentSchedule43[[#This Row],[TOTAL PAYMENT]]-PaymentSchedule43[[#This Row],[INTEREST]],"")</f>
        <v/>
      </c>
      <c r="I148" s="32" t="str">
        <f>IF(PaymentSchedule43[[#This Row],[PMT NO]]&lt;&gt;"",PaymentSchedule43[[#This Row],[BEGINNING BALANCE]]*(InterestRate/PaymentsPerYear),"")</f>
        <v/>
      </c>
      <c r="J14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48" s="32" t="str">
        <f>IF(PaymentSchedule43[[#This Row],[PMT NO]]&lt;&gt;"",SUM(INDEX(PaymentSchedule43[INTEREST],1,1):PaymentSchedule43[[#This Row],[INTEREST]]),"")</f>
        <v/>
      </c>
    </row>
    <row r="149" spans="2:11" x14ac:dyDescent="0.3">
      <c r="B149" s="30" t="str">
        <f>IF(LoanIsGood,IF(ROW()-ROW(PaymentSchedule43[[#Headers],[PMT NO]])&gt;ScheduledNumberOfPayments,"",ROW()-ROW(PaymentSchedule43[[#Headers],[PMT NO]])),"")</f>
        <v/>
      </c>
      <c r="C149" s="31" t="str">
        <f>IF(PaymentSchedule43[[#This Row],[PMT NO]]&lt;&gt;"",EOMONTH(LoanStartDate,ROW(PaymentSchedule43[[#This Row],[PMT NO]])-ROW(PaymentSchedule43[[#Headers],[PMT NO]])-2)+DAY(LoanStartDate),"")</f>
        <v/>
      </c>
      <c r="D14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49" s="32" t="str">
        <f>IF(PaymentSchedule43[[#This Row],[PMT NO]]&lt;&gt;"",ScheduledPayment,"")</f>
        <v/>
      </c>
      <c r="F14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4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49" s="32" t="str">
        <f>IF(PaymentSchedule43[[#This Row],[PMT NO]]&lt;&gt;"",PaymentSchedule43[[#This Row],[TOTAL PAYMENT]]-PaymentSchedule43[[#This Row],[INTEREST]],"")</f>
        <v/>
      </c>
      <c r="I149" s="32" t="str">
        <f>IF(PaymentSchedule43[[#This Row],[PMT NO]]&lt;&gt;"",PaymentSchedule43[[#This Row],[BEGINNING BALANCE]]*(InterestRate/PaymentsPerYear),"")</f>
        <v/>
      </c>
      <c r="J14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49" s="32" t="str">
        <f>IF(PaymentSchedule43[[#This Row],[PMT NO]]&lt;&gt;"",SUM(INDEX(PaymentSchedule43[INTEREST],1,1):PaymentSchedule43[[#This Row],[INTEREST]]),"")</f>
        <v/>
      </c>
    </row>
    <row r="150" spans="2:11" x14ac:dyDescent="0.3">
      <c r="B150" s="30" t="str">
        <f>IF(LoanIsGood,IF(ROW()-ROW(PaymentSchedule43[[#Headers],[PMT NO]])&gt;ScheduledNumberOfPayments,"",ROW()-ROW(PaymentSchedule43[[#Headers],[PMT NO]])),"")</f>
        <v/>
      </c>
      <c r="C150" s="31" t="str">
        <f>IF(PaymentSchedule43[[#This Row],[PMT NO]]&lt;&gt;"",EOMONTH(LoanStartDate,ROW(PaymentSchedule43[[#This Row],[PMT NO]])-ROW(PaymentSchedule43[[#Headers],[PMT NO]])-2)+DAY(LoanStartDate),"")</f>
        <v/>
      </c>
      <c r="D15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50" s="32" t="str">
        <f>IF(PaymentSchedule43[[#This Row],[PMT NO]]&lt;&gt;"",ScheduledPayment,"")</f>
        <v/>
      </c>
      <c r="F15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5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50" s="32" t="str">
        <f>IF(PaymentSchedule43[[#This Row],[PMT NO]]&lt;&gt;"",PaymentSchedule43[[#This Row],[TOTAL PAYMENT]]-PaymentSchedule43[[#This Row],[INTEREST]],"")</f>
        <v/>
      </c>
      <c r="I150" s="32" t="str">
        <f>IF(PaymentSchedule43[[#This Row],[PMT NO]]&lt;&gt;"",PaymentSchedule43[[#This Row],[BEGINNING BALANCE]]*(InterestRate/PaymentsPerYear),"")</f>
        <v/>
      </c>
      <c r="J15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50" s="32" t="str">
        <f>IF(PaymentSchedule43[[#This Row],[PMT NO]]&lt;&gt;"",SUM(INDEX(PaymentSchedule43[INTEREST],1,1):PaymentSchedule43[[#This Row],[INTEREST]]),"")</f>
        <v/>
      </c>
    </row>
    <row r="151" spans="2:11" x14ac:dyDescent="0.3">
      <c r="B151" s="30" t="str">
        <f>IF(LoanIsGood,IF(ROW()-ROW(PaymentSchedule43[[#Headers],[PMT NO]])&gt;ScheduledNumberOfPayments,"",ROW()-ROW(PaymentSchedule43[[#Headers],[PMT NO]])),"")</f>
        <v/>
      </c>
      <c r="C151" s="31" t="str">
        <f>IF(PaymentSchedule43[[#This Row],[PMT NO]]&lt;&gt;"",EOMONTH(LoanStartDate,ROW(PaymentSchedule43[[#This Row],[PMT NO]])-ROW(PaymentSchedule43[[#Headers],[PMT NO]])-2)+DAY(LoanStartDate),"")</f>
        <v/>
      </c>
      <c r="D15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51" s="32" t="str">
        <f>IF(PaymentSchedule43[[#This Row],[PMT NO]]&lt;&gt;"",ScheduledPayment,"")</f>
        <v/>
      </c>
      <c r="F15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5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51" s="32" t="str">
        <f>IF(PaymentSchedule43[[#This Row],[PMT NO]]&lt;&gt;"",PaymentSchedule43[[#This Row],[TOTAL PAYMENT]]-PaymentSchedule43[[#This Row],[INTEREST]],"")</f>
        <v/>
      </c>
      <c r="I151" s="32" t="str">
        <f>IF(PaymentSchedule43[[#This Row],[PMT NO]]&lt;&gt;"",PaymentSchedule43[[#This Row],[BEGINNING BALANCE]]*(InterestRate/PaymentsPerYear),"")</f>
        <v/>
      </c>
      <c r="J15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51" s="32" t="str">
        <f>IF(PaymentSchedule43[[#This Row],[PMT NO]]&lt;&gt;"",SUM(INDEX(PaymentSchedule43[INTEREST],1,1):PaymentSchedule43[[#This Row],[INTEREST]]),"")</f>
        <v/>
      </c>
    </row>
    <row r="152" spans="2:11" x14ac:dyDescent="0.3">
      <c r="B152" s="30" t="str">
        <f>IF(LoanIsGood,IF(ROW()-ROW(PaymentSchedule43[[#Headers],[PMT NO]])&gt;ScheduledNumberOfPayments,"",ROW()-ROW(PaymentSchedule43[[#Headers],[PMT NO]])),"")</f>
        <v/>
      </c>
      <c r="C152" s="31" t="str">
        <f>IF(PaymentSchedule43[[#This Row],[PMT NO]]&lt;&gt;"",EOMONTH(LoanStartDate,ROW(PaymentSchedule43[[#This Row],[PMT NO]])-ROW(PaymentSchedule43[[#Headers],[PMT NO]])-2)+DAY(LoanStartDate),"")</f>
        <v/>
      </c>
      <c r="D15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52" s="32" t="str">
        <f>IF(PaymentSchedule43[[#This Row],[PMT NO]]&lt;&gt;"",ScheduledPayment,"")</f>
        <v/>
      </c>
      <c r="F15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5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52" s="32" t="str">
        <f>IF(PaymentSchedule43[[#This Row],[PMT NO]]&lt;&gt;"",PaymentSchedule43[[#This Row],[TOTAL PAYMENT]]-PaymentSchedule43[[#This Row],[INTEREST]],"")</f>
        <v/>
      </c>
      <c r="I152" s="32" t="str">
        <f>IF(PaymentSchedule43[[#This Row],[PMT NO]]&lt;&gt;"",PaymentSchedule43[[#This Row],[BEGINNING BALANCE]]*(InterestRate/PaymentsPerYear),"")</f>
        <v/>
      </c>
      <c r="J15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52" s="32" t="str">
        <f>IF(PaymentSchedule43[[#This Row],[PMT NO]]&lt;&gt;"",SUM(INDEX(PaymentSchedule43[INTEREST],1,1):PaymentSchedule43[[#This Row],[INTEREST]]),"")</f>
        <v/>
      </c>
    </row>
    <row r="153" spans="2:11" x14ac:dyDescent="0.3">
      <c r="B153" s="30" t="str">
        <f>IF(LoanIsGood,IF(ROW()-ROW(PaymentSchedule43[[#Headers],[PMT NO]])&gt;ScheduledNumberOfPayments,"",ROW()-ROW(PaymentSchedule43[[#Headers],[PMT NO]])),"")</f>
        <v/>
      </c>
      <c r="C153" s="31" t="str">
        <f>IF(PaymentSchedule43[[#This Row],[PMT NO]]&lt;&gt;"",EOMONTH(LoanStartDate,ROW(PaymentSchedule43[[#This Row],[PMT NO]])-ROW(PaymentSchedule43[[#Headers],[PMT NO]])-2)+DAY(LoanStartDate),"")</f>
        <v/>
      </c>
      <c r="D15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53" s="32" t="str">
        <f>IF(PaymentSchedule43[[#This Row],[PMT NO]]&lt;&gt;"",ScheduledPayment,"")</f>
        <v/>
      </c>
      <c r="F15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5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53" s="32" t="str">
        <f>IF(PaymentSchedule43[[#This Row],[PMT NO]]&lt;&gt;"",PaymentSchedule43[[#This Row],[TOTAL PAYMENT]]-PaymentSchedule43[[#This Row],[INTEREST]],"")</f>
        <v/>
      </c>
      <c r="I153" s="32" t="str">
        <f>IF(PaymentSchedule43[[#This Row],[PMT NO]]&lt;&gt;"",PaymentSchedule43[[#This Row],[BEGINNING BALANCE]]*(InterestRate/PaymentsPerYear),"")</f>
        <v/>
      </c>
      <c r="J15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53" s="32" t="str">
        <f>IF(PaymentSchedule43[[#This Row],[PMT NO]]&lt;&gt;"",SUM(INDEX(PaymentSchedule43[INTEREST],1,1):PaymentSchedule43[[#This Row],[INTEREST]]),"")</f>
        <v/>
      </c>
    </row>
    <row r="154" spans="2:11" x14ac:dyDescent="0.3">
      <c r="B154" s="30" t="str">
        <f>IF(LoanIsGood,IF(ROW()-ROW(PaymentSchedule43[[#Headers],[PMT NO]])&gt;ScheduledNumberOfPayments,"",ROW()-ROW(PaymentSchedule43[[#Headers],[PMT NO]])),"")</f>
        <v/>
      </c>
      <c r="C154" s="31" t="str">
        <f>IF(PaymentSchedule43[[#This Row],[PMT NO]]&lt;&gt;"",EOMONTH(LoanStartDate,ROW(PaymentSchedule43[[#This Row],[PMT NO]])-ROW(PaymentSchedule43[[#Headers],[PMT NO]])-2)+DAY(LoanStartDate),"")</f>
        <v/>
      </c>
      <c r="D15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54" s="32" t="str">
        <f>IF(PaymentSchedule43[[#This Row],[PMT NO]]&lt;&gt;"",ScheduledPayment,"")</f>
        <v/>
      </c>
      <c r="F15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5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54" s="32" t="str">
        <f>IF(PaymentSchedule43[[#This Row],[PMT NO]]&lt;&gt;"",PaymentSchedule43[[#This Row],[TOTAL PAYMENT]]-PaymentSchedule43[[#This Row],[INTEREST]],"")</f>
        <v/>
      </c>
      <c r="I154" s="32" t="str">
        <f>IF(PaymentSchedule43[[#This Row],[PMT NO]]&lt;&gt;"",PaymentSchedule43[[#This Row],[BEGINNING BALANCE]]*(InterestRate/PaymentsPerYear),"")</f>
        <v/>
      </c>
      <c r="J15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54" s="32" t="str">
        <f>IF(PaymentSchedule43[[#This Row],[PMT NO]]&lt;&gt;"",SUM(INDEX(PaymentSchedule43[INTEREST],1,1):PaymentSchedule43[[#This Row],[INTEREST]]),"")</f>
        <v/>
      </c>
    </row>
    <row r="155" spans="2:11" x14ac:dyDescent="0.3">
      <c r="B155" s="30" t="str">
        <f>IF(LoanIsGood,IF(ROW()-ROW(PaymentSchedule43[[#Headers],[PMT NO]])&gt;ScheduledNumberOfPayments,"",ROW()-ROW(PaymentSchedule43[[#Headers],[PMT NO]])),"")</f>
        <v/>
      </c>
      <c r="C155" s="31" t="str">
        <f>IF(PaymentSchedule43[[#This Row],[PMT NO]]&lt;&gt;"",EOMONTH(LoanStartDate,ROW(PaymentSchedule43[[#This Row],[PMT NO]])-ROW(PaymentSchedule43[[#Headers],[PMT NO]])-2)+DAY(LoanStartDate),"")</f>
        <v/>
      </c>
      <c r="D15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55" s="32" t="str">
        <f>IF(PaymentSchedule43[[#This Row],[PMT NO]]&lt;&gt;"",ScheduledPayment,"")</f>
        <v/>
      </c>
      <c r="F15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5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55" s="32" t="str">
        <f>IF(PaymentSchedule43[[#This Row],[PMT NO]]&lt;&gt;"",PaymentSchedule43[[#This Row],[TOTAL PAYMENT]]-PaymentSchedule43[[#This Row],[INTEREST]],"")</f>
        <v/>
      </c>
      <c r="I155" s="32" t="str">
        <f>IF(PaymentSchedule43[[#This Row],[PMT NO]]&lt;&gt;"",PaymentSchedule43[[#This Row],[BEGINNING BALANCE]]*(InterestRate/PaymentsPerYear),"")</f>
        <v/>
      </c>
      <c r="J15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55" s="32" t="str">
        <f>IF(PaymentSchedule43[[#This Row],[PMT NO]]&lt;&gt;"",SUM(INDEX(PaymentSchedule43[INTEREST],1,1):PaymentSchedule43[[#This Row],[INTEREST]]),"")</f>
        <v/>
      </c>
    </row>
    <row r="156" spans="2:11" x14ac:dyDescent="0.3">
      <c r="B156" s="30" t="str">
        <f>IF(LoanIsGood,IF(ROW()-ROW(PaymentSchedule43[[#Headers],[PMT NO]])&gt;ScheduledNumberOfPayments,"",ROW()-ROW(PaymentSchedule43[[#Headers],[PMT NO]])),"")</f>
        <v/>
      </c>
      <c r="C156" s="31" t="str">
        <f>IF(PaymentSchedule43[[#This Row],[PMT NO]]&lt;&gt;"",EOMONTH(LoanStartDate,ROW(PaymentSchedule43[[#This Row],[PMT NO]])-ROW(PaymentSchedule43[[#Headers],[PMT NO]])-2)+DAY(LoanStartDate),"")</f>
        <v/>
      </c>
      <c r="D15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56" s="32" t="str">
        <f>IF(PaymentSchedule43[[#This Row],[PMT NO]]&lt;&gt;"",ScheduledPayment,"")</f>
        <v/>
      </c>
      <c r="F15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5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56" s="32" t="str">
        <f>IF(PaymentSchedule43[[#This Row],[PMT NO]]&lt;&gt;"",PaymentSchedule43[[#This Row],[TOTAL PAYMENT]]-PaymentSchedule43[[#This Row],[INTEREST]],"")</f>
        <v/>
      </c>
      <c r="I156" s="32" t="str">
        <f>IF(PaymentSchedule43[[#This Row],[PMT NO]]&lt;&gt;"",PaymentSchedule43[[#This Row],[BEGINNING BALANCE]]*(InterestRate/PaymentsPerYear),"")</f>
        <v/>
      </c>
      <c r="J15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56" s="32" t="str">
        <f>IF(PaymentSchedule43[[#This Row],[PMT NO]]&lt;&gt;"",SUM(INDEX(PaymentSchedule43[INTEREST],1,1):PaymentSchedule43[[#This Row],[INTEREST]]),"")</f>
        <v/>
      </c>
    </row>
    <row r="157" spans="2:11" x14ac:dyDescent="0.3">
      <c r="B157" s="30" t="str">
        <f>IF(LoanIsGood,IF(ROW()-ROW(PaymentSchedule43[[#Headers],[PMT NO]])&gt;ScheduledNumberOfPayments,"",ROW()-ROW(PaymentSchedule43[[#Headers],[PMT NO]])),"")</f>
        <v/>
      </c>
      <c r="C157" s="31" t="str">
        <f>IF(PaymentSchedule43[[#This Row],[PMT NO]]&lt;&gt;"",EOMONTH(LoanStartDate,ROW(PaymentSchedule43[[#This Row],[PMT NO]])-ROW(PaymentSchedule43[[#Headers],[PMT NO]])-2)+DAY(LoanStartDate),"")</f>
        <v/>
      </c>
      <c r="D15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57" s="32" t="str">
        <f>IF(PaymentSchedule43[[#This Row],[PMT NO]]&lt;&gt;"",ScheduledPayment,"")</f>
        <v/>
      </c>
      <c r="F15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5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57" s="32" t="str">
        <f>IF(PaymentSchedule43[[#This Row],[PMT NO]]&lt;&gt;"",PaymentSchedule43[[#This Row],[TOTAL PAYMENT]]-PaymentSchedule43[[#This Row],[INTEREST]],"")</f>
        <v/>
      </c>
      <c r="I157" s="32" t="str">
        <f>IF(PaymentSchedule43[[#This Row],[PMT NO]]&lt;&gt;"",PaymentSchedule43[[#This Row],[BEGINNING BALANCE]]*(InterestRate/PaymentsPerYear),"")</f>
        <v/>
      </c>
      <c r="J15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57" s="32" t="str">
        <f>IF(PaymentSchedule43[[#This Row],[PMT NO]]&lt;&gt;"",SUM(INDEX(PaymentSchedule43[INTEREST],1,1):PaymentSchedule43[[#This Row],[INTEREST]]),"")</f>
        <v/>
      </c>
    </row>
    <row r="158" spans="2:11" x14ac:dyDescent="0.3">
      <c r="B158" s="30" t="str">
        <f>IF(LoanIsGood,IF(ROW()-ROW(PaymentSchedule43[[#Headers],[PMT NO]])&gt;ScheduledNumberOfPayments,"",ROW()-ROW(PaymentSchedule43[[#Headers],[PMT NO]])),"")</f>
        <v/>
      </c>
      <c r="C158" s="31" t="str">
        <f>IF(PaymentSchedule43[[#This Row],[PMT NO]]&lt;&gt;"",EOMONTH(LoanStartDate,ROW(PaymentSchedule43[[#This Row],[PMT NO]])-ROW(PaymentSchedule43[[#Headers],[PMT NO]])-2)+DAY(LoanStartDate),"")</f>
        <v/>
      </c>
      <c r="D15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58" s="32" t="str">
        <f>IF(PaymentSchedule43[[#This Row],[PMT NO]]&lt;&gt;"",ScheduledPayment,"")</f>
        <v/>
      </c>
      <c r="F15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5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58" s="32" t="str">
        <f>IF(PaymentSchedule43[[#This Row],[PMT NO]]&lt;&gt;"",PaymentSchedule43[[#This Row],[TOTAL PAYMENT]]-PaymentSchedule43[[#This Row],[INTEREST]],"")</f>
        <v/>
      </c>
      <c r="I158" s="32" t="str">
        <f>IF(PaymentSchedule43[[#This Row],[PMT NO]]&lt;&gt;"",PaymentSchedule43[[#This Row],[BEGINNING BALANCE]]*(InterestRate/PaymentsPerYear),"")</f>
        <v/>
      </c>
      <c r="J15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58" s="32" t="str">
        <f>IF(PaymentSchedule43[[#This Row],[PMT NO]]&lt;&gt;"",SUM(INDEX(PaymentSchedule43[INTEREST],1,1):PaymentSchedule43[[#This Row],[INTEREST]]),"")</f>
        <v/>
      </c>
    </row>
    <row r="159" spans="2:11" x14ac:dyDescent="0.3">
      <c r="B159" s="30" t="str">
        <f>IF(LoanIsGood,IF(ROW()-ROW(PaymentSchedule43[[#Headers],[PMT NO]])&gt;ScheduledNumberOfPayments,"",ROW()-ROW(PaymentSchedule43[[#Headers],[PMT NO]])),"")</f>
        <v/>
      </c>
      <c r="C159" s="31" t="str">
        <f>IF(PaymentSchedule43[[#This Row],[PMT NO]]&lt;&gt;"",EOMONTH(LoanStartDate,ROW(PaymentSchedule43[[#This Row],[PMT NO]])-ROW(PaymentSchedule43[[#Headers],[PMT NO]])-2)+DAY(LoanStartDate),"")</f>
        <v/>
      </c>
      <c r="D15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59" s="32" t="str">
        <f>IF(PaymentSchedule43[[#This Row],[PMT NO]]&lt;&gt;"",ScheduledPayment,"")</f>
        <v/>
      </c>
      <c r="F15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5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59" s="32" t="str">
        <f>IF(PaymentSchedule43[[#This Row],[PMT NO]]&lt;&gt;"",PaymentSchedule43[[#This Row],[TOTAL PAYMENT]]-PaymentSchedule43[[#This Row],[INTEREST]],"")</f>
        <v/>
      </c>
      <c r="I159" s="32" t="str">
        <f>IF(PaymentSchedule43[[#This Row],[PMT NO]]&lt;&gt;"",PaymentSchedule43[[#This Row],[BEGINNING BALANCE]]*(InterestRate/PaymentsPerYear),"")</f>
        <v/>
      </c>
      <c r="J15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59" s="32" t="str">
        <f>IF(PaymentSchedule43[[#This Row],[PMT NO]]&lt;&gt;"",SUM(INDEX(PaymentSchedule43[INTEREST],1,1):PaymentSchedule43[[#This Row],[INTEREST]]),"")</f>
        <v/>
      </c>
    </row>
    <row r="160" spans="2:11" x14ac:dyDescent="0.3">
      <c r="B160" s="30" t="str">
        <f>IF(LoanIsGood,IF(ROW()-ROW(PaymentSchedule43[[#Headers],[PMT NO]])&gt;ScheduledNumberOfPayments,"",ROW()-ROW(PaymentSchedule43[[#Headers],[PMT NO]])),"")</f>
        <v/>
      </c>
      <c r="C160" s="31" t="str">
        <f>IF(PaymentSchedule43[[#This Row],[PMT NO]]&lt;&gt;"",EOMONTH(LoanStartDate,ROW(PaymentSchedule43[[#This Row],[PMT NO]])-ROW(PaymentSchedule43[[#Headers],[PMT NO]])-2)+DAY(LoanStartDate),"")</f>
        <v/>
      </c>
      <c r="D16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60" s="32" t="str">
        <f>IF(PaymentSchedule43[[#This Row],[PMT NO]]&lt;&gt;"",ScheduledPayment,"")</f>
        <v/>
      </c>
      <c r="F16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6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60" s="32" t="str">
        <f>IF(PaymentSchedule43[[#This Row],[PMT NO]]&lt;&gt;"",PaymentSchedule43[[#This Row],[TOTAL PAYMENT]]-PaymentSchedule43[[#This Row],[INTEREST]],"")</f>
        <v/>
      </c>
      <c r="I160" s="32" t="str">
        <f>IF(PaymentSchedule43[[#This Row],[PMT NO]]&lt;&gt;"",PaymentSchedule43[[#This Row],[BEGINNING BALANCE]]*(InterestRate/PaymentsPerYear),"")</f>
        <v/>
      </c>
      <c r="J16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60" s="32" t="str">
        <f>IF(PaymentSchedule43[[#This Row],[PMT NO]]&lt;&gt;"",SUM(INDEX(PaymentSchedule43[INTEREST],1,1):PaymentSchedule43[[#This Row],[INTEREST]]),"")</f>
        <v/>
      </c>
    </row>
    <row r="161" spans="2:11" x14ac:dyDescent="0.3">
      <c r="B161" s="30" t="str">
        <f>IF(LoanIsGood,IF(ROW()-ROW(PaymentSchedule43[[#Headers],[PMT NO]])&gt;ScheduledNumberOfPayments,"",ROW()-ROW(PaymentSchedule43[[#Headers],[PMT NO]])),"")</f>
        <v/>
      </c>
      <c r="C161" s="31" t="str">
        <f>IF(PaymentSchedule43[[#This Row],[PMT NO]]&lt;&gt;"",EOMONTH(LoanStartDate,ROW(PaymentSchedule43[[#This Row],[PMT NO]])-ROW(PaymentSchedule43[[#Headers],[PMT NO]])-2)+DAY(LoanStartDate),"")</f>
        <v/>
      </c>
      <c r="D16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61" s="32" t="str">
        <f>IF(PaymentSchedule43[[#This Row],[PMT NO]]&lt;&gt;"",ScheduledPayment,"")</f>
        <v/>
      </c>
      <c r="F16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6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61" s="32" t="str">
        <f>IF(PaymentSchedule43[[#This Row],[PMT NO]]&lt;&gt;"",PaymentSchedule43[[#This Row],[TOTAL PAYMENT]]-PaymentSchedule43[[#This Row],[INTEREST]],"")</f>
        <v/>
      </c>
      <c r="I161" s="32" t="str">
        <f>IF(PaymentSchedule43[[#This Row],[PMT NO]]&lt;&gt;"",PaymentSchedule43[[#This Row],[BEGINNING BALANCE]]*(InterestRate/PaymentsPerYear),"")</f>
        <v/>
      </c>
      <c r="J16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61" s="32" t="str">
        <f>IF(PaymentSchedule43[[#This Row],[PMT NO]]&lt;&gt;"",SUM(INDEX(PaymentSchedule43[INTEREST],1,1):PaymentSchedule43[[#This Row],[INTEREST]]),"")</f>
        <v/>
      </c>
    </row>
    <row r="162" spans="2:11" x14ac:dyDescent="0.3">
      <c r="B162" s="30" t="str">
        <f>IF(LoanIsGood,IF(ROW()-ROW(PaymentSchedule43[[#Headers],[PMT NO]])&gt;ScheduledNumberOfPayments,"",ROW()-ROW(PaymentSchedule43[[#Headers],[PMT NO]])),"")</f>
        <v/>
      </c>
      <c r="C162" s="31" t="str">
        <f>IF(PaymentSchedule43[[#This Row],[PMT NO]]&lt;&gt;"",EOMONTH(LoanStartDate,ROW(PaymentSchedule43[[#This Row],[PMT NO]])-ROW(PaymentSchedule43[[#Headers],[PMT NO]])-2)+DAY(LoanStartDate),"")</f>
        <v/>
      </c>
      <c r="D16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62" s="32" t="str">
        <f>IF(PaymentSchedule43[[#This Row],[PMT NO]]&lt;&gt;"",ScheduledPayment,"")</f>
        <v/>
      </c>
      <c r="F16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6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62" s="32" t="str">
        <f>IF(PaymentSchedule43[[#This Row],[PMT NO]]&lt;&gt;"",PaymentSchedule43[[#This Row],[TOTAL PAYMENT]]-PaymentSchedule43[[#This Row],[INTEREST]],"")</f>
        <v/>
      </c>
      <c r="I162" s="32" t="str">
        <f>IF(PaymentSchedule43[[#This Row],[PMT NO]]&lt;&gt;"",PaymentSchedule43[[#This Row],[BEGINNING BALANCE]]*(InterestRate/PaymentsPerYear),"")</f>
        <v/>
      </c>
      <c r="J16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62" s="32" t="str">
        <f>IF(PaymentSchedule43[[#This Row],[PMT NO]]&lt;&gt;"",SUM(INDEX(PaymentSchedule43[INTEREST],1,1):PaymentSchedule43[[#This Row],[INTEREST]]),"")</f>
        <v/>
      </c>
    </row>
    <row r="163" spans="2:11" x14ac:dyDescent="0.3">
      <c r="B163" s="30" t="str">
        <f>IF(LoanIsGood,IF(ROW()-ROW(PaymentSchedule43[[#Headers],[PMT NO]])&gt;ScheduledNumberOfPayments,"",ROW()-ROW(PaymentSchedule43[[#Headers],[PMT NO]])),"")</f>
        <v/>
      </c>
      <c r="C163" s="31" t="str">
        <f>IF(PaymentSchedule43[[#This Row],[PMT NO]]&lt;&gt;"",EOMONTH(LoanStartDate,ROW(PaymentSchedule43[[#This Row],[PMT NO]])-ROW(PaymentSchedule43[[#Headers],[PMT NO]])-2)+DAY(LoanStartDate),"")</f>
        <v/>
      </c>
      <c r="D16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63" s="32" t="str">
        <f>IF(PaymentSchedule43[[#This Row],[PMT NO]]&lt;&gt;"",ScheduledPayment,"")</f>
        <v/>
      </c>
      <c r="F16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6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63" s="32" t="str">
        <f>IF(PaymentSchedule43[[#This Row],[PMT NO]]&lt;&gt;"",PaymentSchedule43[[#This Row],[TOTAL PAYMENT]]-PaymentSchedule43[[#This Row],[INTEREST]],"")</f>
        <v/>
      </c>
      <c r="I163" s="32" t="str">
        <f>IF(PaymentSchedule43[[#This Row],[PMT NO]]&lt;&gt;"",PaymentSchedule43[[#This Row],[BEGINNING BALANCE]]*(InterestRate/PaymentsPerYear),"")</f>
        <v/>
      </c>
      <c r="J16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63" s="32" t="str">
        <f>IF(PaymentSchedule43[[#This Row],[PMT NO]]&lt;&gt;"",SUM(INDEX(PaymentSchedule43[INTEREST],1,1):PaymentSchedule43[[#This Row],[INTEREST]]),"")</f>
        <v/>
      </c>
    </row>
    <row r="164" spans="2:11" x14ac:dyDescent="0.3">
      <c r="B164" s="30" t="str">
        <f>IF(LoanIsGood,IF(ROW()-ROW(PaymentSchedule43[[#Headers],[PMT NO]])&gt;ScheduledNumberOfPayments,"",ROW()-ROW(PaymentSchedule43[[#Headers],[PMT NO]])),"")</f>
        <v/>
      </c>
      <c r="C164" s="31" t="str">
        <f>IF(PaymentSchedule43[[#This Row],[PMT NO]]&lt;&gt;"",EOMONTH(LoanStartDate,ROW(PaymentSchedule43[[#This Row],[PMT NO]])-ROW(PaymentSchedule43[[#Headers],[PMT NO]])-2)+DAY(LoanStartDate),"")</f>
        <v/>
      </c>
      <c r="D16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64" s="32" t="str">
        <f>IF(PaymentSchedule43[[#This Row],[PMT NO]]&lt;&gt;"",ScheduledPayment,"")</f>
        <v/>
      </c>
      <c r="F16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6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64" s="32" t="str">
        <f>IF(PaymentSchedule43[[#This Row],[PMT NO]]&lt;&gt;"",PaymentSchedule43[[#This Row],[TOTAL PAYMENT]]-PaymentSchedule43[[#This Row],[INTEREST]],"")</f>
        <v/>
      </c>
      <c r="I164" s="32" t="str">
        <f>IF(PaymentSchedule43[[#This Row],[PMT NO]]&lt;&gt;"",PaymentSchedule43[[#This Row],[BEGINNING BALANCE]]*(InterestRate/PaymentsPerYear),"")</f>
        <v/>
      </c>
      <c r="J16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64" s="32" t="str">
        <f>IF(PaymentSchedule43[[#This Row],[PMT NO]]&lt;&gt;"",SUM(INDEX(PaymentSchedule43[INTEREST],1,1):PaymentSchedule43[[#This Row],[INTEREST]]),"")</f>
        <v/>
      </c>
    </row>
    <row r="165" spans="2:11" x14ac:dyDescent="0.3">
      <c r="B165" s="30" t="str">
        <f>IF(LoanIsGood,IF(ROW()-ROW(PaymentSchedule43[[#Headers],[PMT NO]])&gt;ScheduledNumberOfPayments,"",ROW()-ROW(PaymentSchedule43[[#Headers],[PMT NO]])),"")</f>
        <v/>
      </c>
      <c r="C165" s="31" t="str">
        <f>IF(PaymentSchedule43[[#This Row],[PMT NO]]&lt;&gt;"",EOMONTH(LoanStartDate,ROW(PaymentSchedule43[[#This Row],[PMT NO]])-ROW(PaymentSchedule43[[#Headers],[PMT NO]])-2)+DAY(LoanStartDate),"")</f>
        <v/>
      </c>
      <c r="D16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65" s="32" t="str">
        <f>IF(PaymentSchedule43[[#This Row],[PMT NO]]&lt;&gt;"",ScheduledPayment,"")</f>
        <v/>
      </c>
      <c r="F16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6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65" s="32" t="str">
        <f>IF(PaymentSchedule43[[#This Row],[PMT NO]]&lt;&gt;"",PaymentSchedule43[[#This Row],[TOTAL PAYMENT]]-PaymentSchedule43[[#This Row],[INTEREST]],"")</f>
        <v/>
      </c>
      <c r="I165" s="32" t="str">
        <f>IF(PaymentSchedule43[[#This Row],[PMT NO]]&lt;&gt;"",PaymentSchedule43[[#This Row],[BEGINNING BALANCE]]*(InterestRate/PaymentsPerYear),"")</f>
        <v/>
      </c>
      <c r="J16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65" s="32" t="str">
        <f>IF(PaymentSchedule43[[#This Row],[PMT NO]]&lt;&gt;"",SUM(INDEX(PaymentSchedule43[INTEREST],1,1):PaymentSchedule43[[#This Row],[INTEREST]]),"")</f>
        <v/>
      </c>
    </row>
    <row r="166" spans="2:11" x14ac:dyDescent="0.3">
      <c r="B166" s="30" t="str">
        <f>IF(LoanIsGood,IF(ROW()-ROW(PaymentSchedule43[[#Headers],[PMT NO]])&gt;ScheduledNumberOfPayments,"",ROW()-ROW(PaymentSchedule43[[#Headers],[PMT NO]])),"")</f>
        <v/>
      </c>
      <c r="C166" s="31" t="str">
        <f>IF(PaymentSchedule43[[#This Row],[PMT NO]]&lt;&gt;"",EOMONTH(LoanStartDate,ROW(PaymentSchedule43[[#This Row],[PMT NO]])-ROW(PaymentSchedule43[[#Headers],[PMT NO]])-2)+DAY(LoanStartDate),"")</f>
        <v/>
      </c>
      <c r="D16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66" s="32" t="str">
        <f>IF(PaymentSchedule43[[#This Row],[PMT NO]]&lt;&gt;"",ScheduledPayment,"")</f>
        <v/>
      </c>
      <c r="F16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6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66" s="32" t="str">
        <f>IF(PaymentSchedule43[[#This Row],[PMT NO]]&lt;&gt;"",PaymentSchedule43[[#This Row],[TOTAL PAYMENT]]-PaymentSchedule43[[#This Row],[INTEREST]],"")</f>
        <v/>
      </c>
      <c r="I166" s="32" t="str">
        <f>IF(PaymentSchedule43[[#This Row],[PMT NO]]&lt;&gt;"",PaymentSchedule43[[#This Row],[BEGINNING BALANCE]]*(InterestRate/PaymentsPerYear),"")</f>
        <v/>
      </c>
      <c r="J16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66" s="32" t="str">
        <f>IF(PaymentSchedule43[[#This Row],[PMT NO]]&lt;&gt;"",SUM(INDEX(PaymentSchedule43[INTEREST],1,1):PaymentSchedule43[[#This Row],[INTEREST]]),"")</f>
        <v/>
      </c>
    </row>
    <row r="167" spans="2:11" x14ac:dyDescent="0.3">
      <c r="B167" s="30" t="str">
        <f>IF(LoanIsGood,IF(ROW()-ROW(PaymentSchedule43[[#Headers],[PMT NO]])&gt;ScheduledNumberOfPayments,"",ROW()-ROW(PaymentSchedule43[[#Headers],[PMT NO]])),"")</f>
        <v/>
      </c>
      <c r="C167" s="31" t="str">
        <f>IF(PaymentSchedule43[[#This Row],[PMT NO]]&lt;&gt;"",EOMONTH(LoanStartDate,ROW(PaymentSchedule43[[#This Row],[PMT NO]])-ROW(PaymentSchedule43[[#Headers],[PMT NO]])-2)+DAY(LoanStartDate),"")</f>
        <v/>
      </c>
      <c r="D16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67" s="32" t="str">
        <f>IF(PaymentSchedule43[[#This Row],[PMT NO]]&lt;&gt;"",ScheduledPayment,"")</f>
        <v/>
      </c>
      <c r="F16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6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67" s="32" t="str">
        <f>IF(PaymentSchedule43[[#This Row],[PMT NO]]&lt;&gt;"",PaymentSchedule43[[#This Row],[TOTAL PAYMENT]]-PaymentSchedule43[[#This Row],[INTEREST]],"")</f>
        <v/>
      </c>
      <c r="I167" s="32" t="str">
        <f>IF(PaymentSchedule43[[#This Row],[PMT NO]]&lt;&gt;"",PaymentSchedule43[[#This Row],[BEGINNING BALANCE]]*(InterestRate/PaymentsPerYear),"")</f>
        <v/>
      </c>
      <c r="J16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67" s="32" t="str">
        <f>IF(PaymentSchedule43[[#This Row],[PMT NO]]&lt;&gt;"",SUM(INDEX(PaymentSchedule43[INTEREST],1,1):PaymentSchedule43[[#This Row],[INTEREST]]),"")</f>
        <v/>
      </c>
    </row>
    <row r="168" spans="2:11" x14ac:dyDescent="0.3">
      <c r="B168" s="30" t="str">
        <f>IF(LoanIsGood,IF(ROW()-ROW(PaymentSchedule43[[#Headers],[PMT NO]])&gt;ScheduledNumberOfPayments,"",ROW()-ROW(PaymentSchedule43[[#Headers],[PMT NO]])),"")</f>
        <v/>
      </c>
      <c r="C168" s="31" t="str">
        <f>IF(PaymentSchedule43[[#This Row],[PMT NO]]&lt;&gt;"",EOMONTH(LoanStartDate,ROW(PaymentSchedule43[[#This Row],[PMT NO]])-ROW(PaymentSchedule43[[#Headers],[PMT NO]])-2)+DAY(LoanStartDate),"")</f>
        <v/>
      </c>
      <c r="D16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68" s="32" t="str">
        <f>IF(PaymentSchedule43[[#This Row],[PMT NO]]&lt;&gt;"",ScheduledPayment,"")</f>
        <v/>
      </c>
      <c r="F16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6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68" s="32" t="str">
        <f>IF(PaymentSchedule43[[#This Row],[PMT NO]]&lt;&gt;"",PaymentSchedule43[[#This Row],[TOTAL PAYMENT]]-PaymentSchedule43[[#This Row],[INTEREST]],"")</f>
        <v/>
      </c>
      <c r="I168" s="32" t="str">
        <f>IF(PaymentSchedule43[[#This Row],[PMT NO]]&lt;&gt;"",PaymentSchedule43[[#This Row],[BEGINNING BALANCE]]*(InterestRate/PaymentsPerYear),"")</f>
        <v/>
      </c>
      <c r="J16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68" s="32" t="str">
        <f>IF(PaymentSchedule43[[#This Row],[PMT NO]]&lt;&gt;"",SUM(INDEX(PaymentSchedule43[INTEREST],1,1):PaymentSchedule43[[#This Row],[INTEREST]]),"")</f>
        <v/>
      </c>
    </row>
    <row r="169" spans="2:11" x14ac:dyDescent="0.3">
      <c r="B169" s="30" t="str">
        <f>IF(LoanIsGood,IF(ROW()-ROW(PaymentSchedule43[[#Headers],[PMT NO]])&gt;ScheduledNumberOfPayments,"",ROW()-ROW(PaymentSchedule43[[#Headers],[PMT NO]])),"")</f>
        <v/>
      </c>
      <c r="C169" s="31" t="str">
        <f>IF(PaymentSchedule43[[#This Row],[PMT NO]]&lt;&gt;"",EOMONTH(LoanStartDate,ROW(PaymentSchedule43[[#This Row],[PMT NO]])-ROW(PaymentSchedule43[[#Headers],[PMT NO]])-2)+DAY(LoanStartDate),"")</f>
        <v/>
      </c>
      <c r="D16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69" s="32" t="str">
        <f>IF(PaymentSchedule43[[#This Row],[PMT NO]]&lt;&gt;"",ScheduledPayment,"")</f>
        <v/>
      </c>
      <c r="F16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6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69" s="32" t="str">
        <f>IF(PaymentSchedule43[[#This Row],[PMT NO]]&lt;&gt;"",PaymentSchedule43[[#This Row],[TOTAL PAYMENT]]-PaymentSchedule43[[#This Row],[INTEREST]],"")</f>
        <v/>
      </c>
      <c r="I169" s="32" t="str">
        <f>IF(PaymentSchedule43[[#This Row],[PMT NO]]&lt;&gt;"",PaymentSchedule43[[#This Row],[BEGINNING BALANCE]]*(InterestRate/PaymentsPerYear),"")</f>
        <v/>
      </c>
      <c r="J16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69" s="32" t="str">
        <f>IF(PaymentSchedule43[[#This Row],[PMT NO]]&lt;&gt;"",SUM(INDEX(PaymentSchedule43[INTEREST],1,1):PaymentSchedule43[[#This Row],[INTEREST]]),"")</f>
        <v/>
      </c>
    </row>
    <row r="170" spans="2:11" x14ac:dyDescent="0.3">
      <c r="B170" s="30" t="str">
        <f>IF(LoanIsGood,IF(ROW()-ROW(PaymentSchedule43[[#Headers],[PMT NO]])&gt;ScheduledNumberOfPayments,"",ROW()-ROW(PaymentSchedule43[[#Headers],[PMT NO]])),"")</f>
        <v/>
      </c>
      <c r="C170" s="31" t="str">
        <f>IF(PaymentSchedule43[[#This Row],[PMT NO]]&lt;&gt;"",EOMONTH(LoanStartDate,ROW(PaymentSchedule43[[#This Row],[PMT NO]])-ROW(PaymentSchedule43[[#Headers],[PMT NO]])-2)+DAY(LoanStartDate),"")</f>
        <v/>
      </c>
      <c r="D17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70" s="32" t="str">
        <f>IF(PaymentSchedule43[[#This Row],[PMT NO]]&lt;&gt;"",ScheduledPayment,"")</f>
        <v/>
      </c>
      <c r="F17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7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70" s="32" t="str">
        <f>IF(PaymentSchedule43[[#This Row],[PMT NO]]&lt;&gt;"",PaymentSchedule43[[#This Row],[TOTAL PAYMENT]]-PaymentSchedule43[[#This Row],[INTEREST]],"")</f>
        <v/>
      </c>
      <c r="I170" s="32" t="str">
        <f>IF(PaymentSchedule43[[#This Row],[PMT NO]]&lt;&gt;"",PaymentSchedule43[[#This Row],[BEGINNING BALANCE]]*(InterestRate/PaymentsPerYear),"")</f>
        <v/>
      </c>
      <c r="J17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70" s="32" t="str">
        <f>IF(PaymentSchedule43[[#This Row],[PMT NO]]&lt;&gt;"",SUM(INDEX(PaymentSchedule43[INTEREST],1,1):PaymentSchedule43[[#This Row],[INTEREST]]),"")</f>
        <v/>
      </c>
    </row>
    <row r="171" spans="2:11" x14ac:dyDescent="0.3">
      <c r="B171" s="30" t="str">
        <f>IF(LoanIsGood,IF(ROW()-ROW(PaymentSchedule43[[#Headers],[PMT NO]])&gt;ScheduledNumberOfPayments,"",ROW()-ROW(PaymentSchedule43[[#Headers],[PMT NO]])),"")</f>
        <v/>
      </c>
      <c r="C171" s="31" t="str">
        <f>IF(PaymentSchedule43[[#This Row],[PMT NO]]&lt;&gt;"",EOMONTH(LoanStartDate,ROW(PaymentSchedule43[[#This Row],[PMT NO]])-ROW(PaymentSchedule43[[#Headers],[PMT NO]])-2)+DAY(LoanStartDate),"")</f>
        <v/>
      </c>
      <c r="D17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71" s="32" t="str">
        <f>IF(PaymentSchedule43[[#This Row],[PMT NO]]&lt;&gt;"",ScheduledPayment,"")</f>
        <v/>
      </c>
      <c r="F17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7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71" s="32" t="str">
        <f>IF(PaymentSchedule43[[#This Row],[PMT NO]]&lt;&gt;"",PaymentSchedule43[[#This Row],[TOTAL PAYMENT]]-PaymentSchedule43[[#This Row],[INTEREST]],"")</f>
        <v/>
      </c>
      <c r="I171" s="32" t="str">
        <f>IF(PaymentSchedule43[[#This Row],[PMT NO]]&lt;&gt;"",PaymentSchedule43[[#This Row],[BEGINNING BALANCE]]*(InterestRate/PaymentsPerYear),"")</f>
        <v/>
      </c>
      <c r="J17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71" s="32" t="str">
        <f>IF(PaymentSchedule43[[#This Row],[PMT NO]]&lt;&gt;"",SUM(INDEX(PaymentSchedule43[INTEREST],1,1):PaymentSchedule43[[#This Row],[INTEREST]]),"")</f>
        <v/>
      </c>
    </row>
    <row r="172" spans="2:11" x14ac:dyDescent="0.3">
      <c r="B172" s="30" t="str">
        <f>IF(LoanIsGood,IF(ROW()-ROW(PaymentSchedule43[[#Headers],[PMT NO]])&gt;ScheduledNumberOfPayments,"",ROW()-ROW(PaymentSchedule43[[#Headers],[PMT NO]])),"")</f>
        <v/>
      </c>
      <c r="C172" s="31" t="str">
        <f>IF(PaymentSchedule43[[#This Row],[PMT NO]]&lt;&gt;"",EOMONTH(LoanStartDate,ROW(PaymentSchedule43[[#This Row],[PMT NO]])-ROW(PaymentSchedule43[[#Headers],[PMT NO]])-2)+DAY(LoanStartDate),"")</f>
        <v/>
      </c>
      <c r="D17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72" s="32" t="str">
        <f>IF(PaymentSchedule43[[#This Row],[PMT NO]]&lt;&gt;"",ScheduledPayment,"")</f>
        <v/>
      </c>
      <c r="F17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7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72" s="32" t="str">
        <f>IF(PaymentSchedule43[[#This Row],[PMT NO]]&lt;&gt;"",PaymentSchedule43[[#This Row],[TOTAL PAYMENT]]-PaymentSchedule43[[#This Row],[INTEREST]],"")</f>
        <v/>
      </c>
      <c r="I172" s="32" t="str">
        <f>IF(PaymentSchedule43[[#This Row],[PMT NO]]&lt;&gt;"",PaymentSchedule43[[#This Row],[BEGINNING BALANCE]]*(InterestRate/PaymentsPerYear),"")</f>
        <v/>
      </c>
      <c r="J17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72" s="32" t="str">
        <f>IF(PaymentSchedule43[[#This Row],[PMT NO]]&lt;&gt;"",SUM(INDEX(PaymentSchedule43[INTEREST],1,1):PaymentSchedule43[[#This Row],[INTEREST]]),"")</f>
        <v/>
      </c>
    </row>
    <row r="173" spans="2:11" x14ac:dyDescent="0.3">
      <c r="B173" s="30" t="str">
        <f>IF(LoanIsGood,IF(ROW()-ROW(PaymentSchedule43[[#Headers],[PMT NO]])&gt;ScheduledNumberOfPayments,"",ROW()-ROW(PaymentSchedule43[[#Headers],[PMT NO]])),"")</f>
        <v/>
      </c>
      <c r="C173" s="31" t="str">
        <f>IF(PaymentSchedule43[[#This Row],[PMT NO]]&lt;&gt;"",EOMONTH(LoanStartDate,ROW(PaymentSchedule43[[#This Row],[PMT NO]])-ROW(PaymentSchedule43[[#Headers],[PMT NO]])-2)+DAY(LoanStartDate),"")</f>
        <v/>
      </c>
      <c r="D17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73" s="32" t="str">
        <f>IF(PaymentSchedule43[[#This Row],[PMT NO]]&lt;&gt;"",ScheduledPayment,"")</f>
        <v/>
      </c>
      <c r="F17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7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73" s="32" t="str">
        <f>IF(PaymentSchedule43[[#This Row],[PMT NO]]&lt;&gt;"",PaymentSchedule43[[#This Row],[TOTAL PAYMENT]]-PaymentSchedule43[[#This Row],[INTEREST]],"")</f>
        <v/>
      </c>
      <c r="I173" s="32" t="str">
        <f>IF(PaymentSchedule43[[#This Row],[PMT NO]]&lt;&gt;"",PaymentSchedule43[[#This Row],[BEGINNING BALANCE]]*(InterestRate/PaymentsPerYear),"")</f>
        <v/>
      </c>
      <c r="J17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73" s="32" t="str">
        <f>IF(PaymentSchedule43[[#This Row],[PMT NO]]&lt;&gt;"",SUM(INDEX(PaymentSchedule43[INTEREST],1,1):PaymentSchedule43[[#This Row],[INTEREST]]),"")</f>
        <v/>
      </c>
    </row>
    <row r="174" spans="2:11" x14ac:dyDescent="0.3">
      <c r="B174" s="30" t="str">
        <f>IF(LoanIsGood,IF(ROW()-ROW(PaymentSchedule43[[#Headers],[PMT NO]])&gt;ScheduledNumberOfPayments,"",ROW()-ROW(PaymentSchedule43[[#Headers],[PMT NO]])),"")</f>
        <v/>
      </c>
      <c r="C174" s="31" t="str">
        <f>IF(PaymentSchedule43[[#This Row],[PMT NO]]&lt;&gt;"",EOMONTH(LoanStartDate,ROW(PaymentSchedule43[[#This Row],[PMT NO]])-ROW(PaymentSchedule43[[#Headers],[PMT NO]])-2)+DAY(LoanStartDate),"")</f>
        <v/>
      </c>
      <c r="D17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74" s="32" t="str">
        <f>IF(PaymentSchedule43[[#This Row],[PMT NO]]&lt;&gt;"",ScheduledPayment,"")</f>
        <v/>
      </c>
      <c r="F17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7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74" s="32" t="str">
        <f>IF(PaymentSchedule43[[#This Row],[PMT NO]]&lt;&gt;"",PaymentSchedule43[[#This Row],[TOTAL PAYMENT]]-PaymentSchedule43[[#This Row],[INTEREST]],"")</f>
        <v/>
      </c>
      <c r="I174" s="32" t="str">
        <f>IF(PaymentSchedule43[[#This Row],[PMT NO]]&lt;&gt;"",PaymentSchedule43[[#This Row],[BEGINNING BALANCE]]*(InterestRate/PaymentsPerYear),"")</f>
        <v/>
      </c>
      <c r="J17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74" s="32" t="str">
        <f>IF(PaymentSchedule43[[#This Row],[PMT NO]]&lt;&gt;"",SUM(INDEX(PaymentSchedule43[INTEREST],1,1):PaymentSchedule43[[#This Row],[INTEREST]]),"")</f>
        <v/>
      </c>
    </row>
    <row r="175" spans="2:11" x14ac:dyDescent="0.3">
      <c r="B175" s="30" t="str">
        <f>IF(LoanIsGood,IF(ROW()-ROW(PaymentSchedule43[[#Headers],[PMT NO]])&gt;ScheduledNumberOfPayments,"",ROW()-ROW(PaymentSchedule43[[#Headers],[PMT NO]])),"")</f>
        <v/>
      </c>
      <c r="C175" s="31" t="str">
        <f>IF(PaymentSchedule43[[#This Row],[PMT NO]]&lt;&gt;"",EOMONTH(LoanStartDate,ROW(PaymentSchedule43[[#This Row],[PMT NO]])-ROW(PaymentSchedule43[[#Headers],[PMT NO]])-2)+DAY(LoanStartDate),"")</f>
        <v/>
      </c>
      <c r="D17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75" s="32" t="str">
        <f>IF(PaymentSchedule43[[#This Row],[PMT NO]]&lt;&gt;"",ScheduledPayment,"")</f>
        <v/>
      </c>
      <c r="F17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7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75" s="32" t="str">
        <f>IF(PaymentSchedule43[[#This Row],[PMT NO]]&lt;&gt;"",PaymentSchedule43[[#This Row],[TOTAL PAYMENT]]-PaymentSchedule43[[#This Row],[INTEREST]],"")</f>
        <v/>
      </c>
      <c r="I175" s="32" t="str">
        <f>IF(PaymentSchedule43[[#This Row],[PMT NO]]&lt;&gt;"",PaymentSchedule43[[#This Row],[BEGINNING BALANCE]]*(InterestRate/PaymentsPerYear),"")</f>
        <v/>
      </c>
      <c r="J17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75" s="32" t="str">
        <f>IF(PaymentSchedule43[[#This Row],[PMT NO]]&lt;&gt;"",SUM(INDEX(PaymentSchedule43[INTEREST],1,1):PaymentSchedule43[[#This Row],[INTEREST]]),"")</f>
        <v/>
      </c>
    </row>
    <row r="176" spans="2:11" x14ac:dyDescent="0.3">
      <c r="B176" s="30" t="str">
        <f>IF(LoanIsGood,IF(ROW()-ROW(PaymentSchedule43[[#Headers],[PMT NO]])&gt;ScheduledNumberOfPayments,"",ROW()-ROW(PaymentSchedule43[[#Headers],[PMT NO]])),"")</f>
        <v/>
      </c>
      <c r="C176" s="31" t="str">
        <f>IF(PaymentSchedule43[[#This Row],[PMT NO]]&lt;&gt;"",EOMONTH(LoanStartDate,ROW(PaymentSchedule43[[#This Row],[PMT NO]])-ROW(PaymentSchedule43[[#Headers],[PMT NO]])-2)+DAY(LoanStartDate),"")</f>
        <v/>
      </c>
      <c r="D17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76" s="32" t="str">
        <f>IF(PaymentSchedule43[[#This Row],[PMT NO]]&lt;&gt;"",ScheduledPayment,"")</f>
        <v/>
      </c>
      <c r="F17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7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76" s="32" t="str">
        <f>IF(PaymentSchedule43[[#This Row],[PMT NO]]&lt;&gt;"",PaymentSchedule43[[#This Row],[TOTAL PAYMENT]]-PaymentSchedule43[[#This Row],[INTEREST]],"")</f>
        <v/>
      </c>
      <c r="I176" s="32" t="str">
        <f>IF(PaymentSchedule43[[#This Row],[PMT NO]]&lt;&gt;"",PaymentSchedule43[[#This Row],[BEGINNING BALANCE]]*(InterestRate/PaymentsPerYear),"")</f>
        <v/>
      </c>
      <c r="J17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76" s="32" t="str">
        <f>IF(PaymentSchedule43[[#This Row],[PMT NO]]&lt;&gt;"",SUM(INDEX(PaymentSchedule43[INTEREST],1,1):PaymentSchedule43[[#This Row],[INTEREST]]),"")</f>
        <v/>
      </c>
    </row>
    <row r="177" spans="2:11" x14ac:dyDescent="0.3">
      <c r="B177" s="30" t="str">
        <f>IF(LoanIsGood,IF(ROW()-ROW(PaymentSchedule43[[#Headers],[PMT NO]])&gt;ScheduledNumberOfPayments,"",ROW()-ROW(PaymentSchedule43[[#Headers],[PMT NO]])),"")</f>
        <v/>
      </c>
      <c r="C177" s="31" t="str">
        <f>IF(PaymentSchedule43[[#This Row],[PMT NO]]&lt;&gt;"",EOMONTH(LoanStartDate,ROW(PaymentSchedule43[[#This Row],[PMT NO]])-ROW(PaymentSchedule43[[#Headers],[PMT NO]])-2)+DAY(LoanStartDate),"")</f>
        <v/>
      </c>
      <c r="D17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77" s="32" t="str">
        <f>IF(PaymentSchedule43[[#This Row],[PMT NO]]&lt;&gt;"",ScheduledPayment,"")</f>
        <v/>
      </c>
      <c r="F17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7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77" s="32" t="str">
        <f>IF(PaymentSchedule43[[#This Row],[PMT NO]]&lt;&gt;"",PaymentSchedule43[[#This Row],[TOTAL PAYMENT]]-PaymentSchedule43[[#This Row],[INTEREST]],"")</f>
        <v/>
      </c>
      <c r="I177" s="32" t="str">
        <f>IF(PaymentSchedule43[[#This Row],[PMT NO]]&lt;&gt;"",PaymentSchedule43[[#This Row],[BEGINNING BALANCE]]*(InterestRate/PaymentsPerYear),"")</f>
        <v/>
      </c>
      <c r="J17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77" s="32" t="str">
        <f>IF(PaymentSchedule43[[#This Row],[PMT NO]]&lt;&gt;"",SUM(INDEX(PaymentSchedule43[INTEREST],1,1):PaymentSchedule43[[#This Row],[INTEREST]]),"")</f>
        <v/>
      </c>
    </row>
    <row r="178" spans="2:11" x14ac:dyDescent="0.3">
      <c r="B178" s="30" t="str">
        <f>IF(LoanIsGood,IF(ROW()-ROW(PaymentSchedule43[[#Headers],[PMT NO]])&gt;ScheduledNumberOfPayments,"",ROW()-ROW(PaymentSchedule43[[#Headers],[PMT NO]])),"")</f>
        <v/>
      </c>
      <c r="C178" s="31" t="str">
        <f>IF(PaymentSchedule43[[#This Row],[PMT NO]]&lt;&gt;"",EOMONTH(LoanStartDate,ROW(PaymentSchedule43[[#This Row],[PMT NO]])-ROW(PaymentSchedule43[[#Headers],[PMT NO]])-2)+DAY(LoanStartDate),"")</f>
        <v/>
      </c>
      <c r="D17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78" s="32" t="str">
        <f>IF(PaymentSchedule43[[#This Row],[PMT NO]]&lt;&gt;"",ScheduledPayment,"")</f>
        <v/>
      </c>
      <c r="F17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7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78" s="32" t="str">
        <f>IF(PaymentSchedule43[[#This Row],[PMT NO]]&lt;&gt;"",PaymentSchedule43[[#This Row],[TOTAL PAYMENT]]-PaymentSchedule43[[#This Row],[INTEREST]],"")</f>
        <v/>
      </c>
      <c r="I178" s="32" t="str">
        <f>IF(PaymentSchedule43[[#This Row],[PMT NO]]&lt;&gt;"",PaymentSchedule43[[#This Row],[BEGINNING BALANCE]]*(InterestRate/PaymentsPerYear),"")</f>
        <v/>
      </c>
      <c r="J17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78" s="32" t="str">
        <f>IF(PaymentSchedule43[[#This Row],[PMT NO]]&lt;&gt;"",SUM(INDEX(PaymentSchedule43[INTEREST],1,1):PaymentSchedule43[[#This Row],[INTEREST]]),"")</f>
        <v/>
      </c>
    </row>
    <row r="179" spans="2:11" x14ac:dyDescent="0.3">
      <c r="B179" s="30" t="str">
        <f>IF(LoanIsGood,IF(ROW()-ROW(PaymentSchedule43[[#Headers],[PMT NO]])&gt;ScheduledNumberOfPayments,"",ROW()-ROW(PaymentSchedule43[[#Headers],[PMT NO]])),"")</f>
        <v/>
      </c>
      <c r="C179" s="31" t="str">
        <f>IF(PaymentSchedule43[[#This Row],[PMT NO]]&lt;&gt;"",EOMONTH(LoanStartDate,ROW(PaymentSchedule43[[#This Row],[PMT NO]])-ROW(PaymentSchedule43[[#Headers],[PMT NO]])-2)+DAY(LoanStartDate),"")</f>
        <v/>
      </c>
      <c r="D17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79" s="32" t="str">
        <f>IF(PaymentSchedule43[[#This Row],[PMT NO]]&lt;&gt;"",ScheduledPayment,"")</f>
        <v/>
      </c>
      <c r="F17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7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79" s="32" t="str">
        <f>IF(PaymentSchedule43[[#This Row],[PMT NO]]&lt;&gt;"",PaymentSchedule43[[#This Row],[TOTAL PAYMENT]]-PaymentSchedule43[[#This Row],[INTEREST]],"")</f>
        <v/>
      </c>
      <c r="I179" s="32" t="str">
        <f>IF(PaymentSchedule43[[#This Row],[PMT NO]]&lt;&gt;"",PaymentSchedule43[[#This Row],[BEGINNING BALANCE]]*(InterestRate/PaymentsPerYear),"")</f>
        <v/>
      </c>
      <c r="J17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79" s="32" t="str">
        <f>IF(PaymentSchedule43[[#This Row],[PMT NO]]&lt;&gt;"",SUM(INDEX(PaymentSchedule43[INTEREST],1,1):PaymentSchedule43[[#This Row],[INTEREST]]),"")</f>
        <v/>
      </c>
    </row>
    <row r="180" spans="2:11" x14ac:dyDescent="0.3">
      <c r="B180" s="30" t="str">
        <f>IF(LoanIsGood,IF(ROW()-ROW(PaymentSchedule43[[#Headers],[PMT NO]])&gt;ScheduledNumberOfPayments,"",ROW()-ROW(PaymentSchedule43[[#Headers],[PMT NO]])),"")</f>
        <v/>
      </c>
      <c r="C180" s="31" t="str">
        <f>IF(PaymentSchedule43[[#This Row],[PMT NO]]&lt;&gt;"",EOMONTH(LoanStartDate,ROW(PaymentSchedule43[[#This Row],[PMT NO]])-ROW(PaymentSchedule43[[#Headers],[PMT NO]])-2)+DAY(LoanStartDate),"")</f>
        <v/>
      </c>
      <c r="D18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80" s="32" t="str">
        <f>IF(PaymentSchedule43[[#This Row],[PMT NO]]&lt;&gt;"",ScheduledPayment,"")</f>
        <v/>
      </c>
      <c r="F18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8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80" s="32" t="str">
        <f>IF(PaymentSchedule43[[#This Row],[PMT NO]]&lt;&gt;"",PaymentSchedule43[[#This Row],[TOTAL PAYMENT]]-PaymentSchedule43[[#This Row],[INTEREST]],"")</f>
        <v/>
      </c>
      <c r="I180" s="32" t="str">
        <f>IF(PaymentSchedule43[[#This Row],[PMT NO]]&lt;&gt;"",PaymentSchedule43[[#This Row],[BEGINNING BALANCE]]*(InterestRate/PaymentsPerYear),"")</f>
        <v/>
      </c>
      <c r="J18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80" s="32" t="str">
        <f>IF(PaymentSchedule43[[#This Row],[PMT NO]]&lt;&gt;"",SUM(INDEX(PaymentSchedule43[INTEREST],1,1):PaymentSchedule43[[#This Row],[INTEREST]]),"")</f>
        <v/>
      </c>
    </row>
    <row r="181" spans="2:11" x14ac:dyDescent="0.3">
      <c r="B181" s="30" t="str">
        <f>IF(LoanIsGood,IF(ROW()-ROW(PaymentSchedule43[[#Headers],[PMT NO]])&gt;ScheduledNumberOfPayments,"",ROW()-ROW(PaymentSchedule43[[#Headers],[PMT NO]])),"")</f>
        <v/>
      </c>
      <c r="C181" s="31" t="str">
        <f>IF(PaymentSchedule43[[#This Row],[PMT NO]]&lt;&gt;"",EOMONTH(LoanStartDate,ROW(PaymentSchedule43[[#This Row],[PMT NO]])-ROW(PaymentSchedule43[[#Headers],[PMT NO]])-2)+DAY(LoanStartDate),"")</f>
        <v/>
      </c>
      <c r="D18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81" s="32" t="str">
        <f>IF(PaymentSchedule43[[#This Row],[PMT NO]]&lt;&gt;"",ScheduledPayment,"")</f>
        <v/>
      </c>
      <c r="F18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8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81" s="32" t="str">
        <f>IF(PaymentSchedule43[[#This Row],[PMT NO]]&lt;&gt;"",PaymentSchedule43[[#This Row],[TOTAL PAYMENT]]-PaymentSchedule43[[#This Row],[INTEREST]],"")</f>
        <v/>
      </c>
      <c r="I181" s="32" t="str">
        <f>IF(PaymentSchedule43[[#This Row],[PMT NO]]&lt;&gt;"",PaymentSchedule43[[#This Row],[BEGINNING BALANCE]]*(InterestRate/PaymentsPerYear),"")</f>
        <v/>
      </c>
      <c r="J18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81" s="32" t="str">
        <f>IF(PaymentSchedule43[[#This Row],[PMT NO]]&lt;&gt;"",SUM(INDEX(PaymentSchedule43[INTEREST],1,1):PaymentSchedule43[[#This Row],[INTEREST]]),"")</f>
        <v/>
      </c>
    </row>
    <row r="182" spans="2:11" x14ac:dyDescent="0.3">
      <c r="B182" s="30" t="str">
        <f>IF(LoanIsGood,IF(ROW()-ROW(PaymentSchedule43[[#Headers],[PMT NO]])&gt;ScheduledNumberOfPayments,"",ROW()-ROW(PaymentSchedule43[[#Headers],[PMT NO]])),"")</f>
        <v/>
      </c>
      <c r="C182" s="31" t="str">
        <f>IF(PaymentSchedule43[[#This Row],[PMT NO]]&lt;&gt;"",EOMONTH(LoanStartDate,ROW(PaymentSchedule43[[#This Row],[PMT NO]])-ROW(PaymentSchedule43[[#Headers],[PMT NO]])-2)+DAY(LoanStartDate),"")</f>
        <v/>
      </c>
      <c r="D18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82" s="32" t="str">
        <f>IF(PaymentSchedule43[[#This Row],[PMT NO]]&lt;&gt;"",ScheduledPayment,"")</f>
        <v/>
      </c>
      <c r="F18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8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82" s="32" t="str">
        <f>IF(PaymentSchedule43[[#This Row],[PMT NO]]&lt;&gt;"",PaymentSchedule43[[#This Row],[TOTAL PAYMENT]]-PaymentSchedule43[[#This Row],[INTEREST]],"")</f>
        <v/>
      </c>
      <c r="I182" s="32" t="str">
        <f>IF(PaymentSchedule43[[#This Row],[PMT NO]]&lt;&gt;"",PaymentSchedule43[[#This Row],[BEGINNING BALANCE]]*(InterestRate/PaymentsPerYear),"")</f>
        <v/>
      </c>
      <c r="J18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82" s="32" t="str">
        <f>IF(PaymentSchedule43[[#This Row],[PMT NO]]&lt;&gt;"",SUM(INDEX(PaymentSchedule43[INTEREST],1,1):PaymentSchedule43[[#This Row],[INTEREST]]),"")</f>
        <v/>
      </c>
    </row>
    <row r="183" spans="2:11" x14ac:dyDescent="0.3">
      <c r="B183" s="30" t="str">
        <f>IF(LoanIsGood,IF(ROW()-ROW(PaymentSchedule43[[#Headers],[PMT NO]])&gt;ScheduledNumberOfPayments,"",ROW()-ROW(PaymentSchedule43[[#Headers],[PMT NO]])),"")</f>
        <v/>
      </c>
      <c r="C183" s="31" t="str">
        <f>IF(PaymentSchedule43[[#This Row],[PMT NO]]&lt;&gt;"",EOMONTH(LoanStartDate,ROW(PaymentSchedule43[[#This Row],[PMT NO]])-ROW(PaymentSchedule43[[#Headers],[PMT NO]])-2)+DAY(LoanStartDate),"")</f>
        <v/>
      </c>
      <c r="D18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83" s="32" t="str">
        <f>IF(PaymentSchedule43[[#This Row],[PMT NO]]&lt;&gt;"",ScheduledPayment,"")</f>
        <v/>
      </c>
      <c r="F18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8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83" s="32" t="str">
        <f>IF(PaymentSchedule43[[#This Row],[PMT NO]]&lt;&gt;"",PaymentSchedule43[[#This Row],[TOTAL PAYMENT]]-PaymentSchedule43[[#This Row],[INTEREST]],"")</f>
        <v/>
      </c>
      <c r="I183" s="32" t="str">
        <f>IF(PaymentSchedule43[[#This Row],[PMT NO]]&lt;&gt;"",PaymentSchedule43[[#This Row],[BEGINNING BALANCE]]*(InterestRate/PaymentsPerYear),"")</f>
        <v/>
      </c>
      <c r="J18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83" s="32" t="str">
        <f>IF(PaymentSchedule43[[#This Row],[PMT NO]]&lt;&gt;"",SUM(INDEX(PaymentSchedule43[INTEREST],1,1):PaymentSchedule43[[#This Row],[INTEREST]]),"")</f>
        <v/>
      </c>
    </row>
    <row r="184" spans="2:11" x14ac:dyDescent="0.3">
      <c r="B184" s="30" t="str">
        <f>IF(LoanIsGood,IF(ROW()-ROW(PaymentSchedule43[[#Headers],[PMT NO]])&gt;ScheduledNumberOfPayments,"",ROW()-ROW(PaymentSchedule43[[#Headers],[PMT NO]])),"")</f>
        <v/>
      </c>
      <c r="C184" s="31" t="str">
        <f>IF(PaymentSchedule43[[#This Row],[PMT NO]]&lt;&gt;"",EOMONTH(LoanStartDate,ROW(PaymentSchedule43[[#This Row],[PMT NO]])-ROW(PaymentSchedule43[[#Headers],[PMT NO]])-2)+DAY(LoanStartDate),"")</f>
        <v/>
      </c>
      <c r="D18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84" s="32" t="str">
        <f>IF(PaymentSchedule43[[#This Row],[PMT NO]]&lt;&gt;"",ScheduledPayment,"")</f>
        <v/>
      </c>
      <c r="F18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8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84" s="32" t="str">
        <f>IF(PaymentSchedule43[[#This Row],[PMT NO]]&lt;&gt;"",PaymentSchedule43[[#This Row],[TOTAL PAYMENT]]-PaymentSchedule43[[#This Row],[INTEREST]],"")</f>
        <v/>
      </c>
      <c r="I184" s="32" t="str">
        <f>IF(PaymentSchedule43[[#This Row],[PMT NO]]&lt;&gt;"",PaymentSchedule43[[#This Row],[BEGINNING BALANCE]]*(InterestRate/PaymentsPerYear),"")</f>
        <v/>
      </c>
      <c r="J18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84" s="32" t="str">
        <f>IF(PaymentSchedule43[[#This Row],[PMT NO]]&lt;&gt;"",SUM(INDEX(PaymentSchedule43[INTEREST],1,1):PaymentSchedule43[[#This Row],[INTEREST]]),"")</f>
        <v/>
      </c>
    </row>
    <row r="185" spans="2:11" x14ac:dyDescent="0.3">
      <c r="B185" s="30" t="str">
        <f>IF(LoanIsGood,IF(ROW()-ROW(PaymentSchedule43[[#Headers],[PMT NO]])&gt;ScheduledNumberOfPayments,"",ROW()-ROW(PaymentSchedule43[[#Headers],[PMT NO]])),"")</f>
        <v/>
      </c>
      <c r="C185" s="31" t="str">
        <f>IF(PaymentSchedule43[[#This Row],[PMT NO]]&lt;&gt;"",EOMONTH(LoanStartDate,ROW(PaymentSchedule43[[#This Row],[PMT NO]])-ROW(PaymentSchedule43[[#Headers],[PMT NO]])-2)+DAY(LoanStartDate),"")</f>
        <v/>
      </c>
      <c r="D18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85" s="32" t="str">
        <f>IF(PaymentSchedule43[[#This Row],[PMT NO]]&lt;&gt;"",ScheduledPayment,"")</f>
        <v/>
      </c>
      <c r="F18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8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85" s="32" t="str">
        <f>IF(PaymentSchedule43[[#This Row],[PMT NO]]&lt;&gt;"",PaymentSchedule43[[#This Row],[TOTAL PAYMENT]]-PaymentSchedule43[[#This Row],[INTEREST]],"")</f>
        <v/>
      </c>
      <c r="I185" s="32" t="str">
        <f>IF(PaymentSchedule43[[#This Row],[PMT NO]]&lt;&gt;"",PaymentSchedule43[[#This Row],[BEGINNING BALANCE]]*(InterestRate/PaymentsPerYear),"")</f>
        <v/>
      </c>
      <c r="J18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85" s="32" t="str">
        <f>IF(PaymentSchedule43[[#This Row],[PMT NO]]&lt;&gt;"",SUM(INDEX(PaymentSchedule43[INTEREST],1,1):PaymentSchedule43[[#This Row],[INTEREST]]),"")</f>
        <v/>
      </c>
    </row>
    <row r="186" spans="2:11" x14ac:dyDescent="0.3">
      <c r="B186" s="30" t="str">
        <f>IF(LoanIsGood,IF(ROW()-ROW(PaymentSchedule43[[#Headers],[PMT NO]])&gt;ScheduledNumberOfPayments,"",ROW()-ROW(PaymentSchedule43[[#Headers],[PMT NO]])),"")</f>
        <v/>
      </c>
      <c r="C186" s="31" t="str">
        <f>IF(PaymentSchedule43[[#This Row],[PMT NO]]&lt;&gt;"",EOMONTH(LoanStartDate,ROW(PaymentSchedule43[[#This Row],[PMT NO]])-ROW(PaymentSchedule43[[#Headers],[PMT NO]])-2)+DAY(LoanStartDate),"")</f>
        <v/>
      </c>
      <c r="D18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86" s="32" t="str">
        <f>IF(PaymentSchedule43[[#This Row],[PMT NO]]&lt;&gt;"",ScheduledPayment,"")</f>
        <v/>
      </c>
      <c r="F18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8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86" s="32" t="str">
        <f>IF(PaymentSchedule43[[#This Row],[PMT NO]]&lt;&gt;"",PaymentSchedule43[[#This Row],[TOTAL PAYMENT]]-PaymentSchedule43[[#This Row],[INTEREST]],"")</f>
        <v/>
      </c>
      <c r="I186" s="32" t="str">
        <f>IF(PaymentSchedule43[[#This Row],[PMT NO]]&lt;&gt;"",PaymentSchedule43[[#This Row],[BEGINNING BALANCE]]*(InterestRate/PaymentsPerYear),"")</f>
        <v/>
      </c>
      <c r="J18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86" s="32" t="str">
        <f>IF(PaymentSchedule43[[#This Row],[PMT NO]]&lt;&gt;"",SUM(INDEX(PaymentSchedule43[INTEREST],1,1):PaymentSchedule43[[#This Row],[INTEREST]]),"")</f>
        <v/>
      </c>
    </row>
    <row r="187" spans="2:11" x14ac:dyDescent="0.3">
      <c r="B187" s="30" t="str">
        <f>IF(LoanIsGood,IF(ROW()-ROW(PaymentSchedule43[[#Headers],[PMT NO]])&gt;ScheduledNumberOfPayments,"",ROW()-ROW(PaymentSchedule43[[#Headers],[PMT NO]])),"")</f>
        <v/>
      </c>
      <c r="C187" s="31" t="str">
        <f>IF(PaymentSchedule43[[#This Row],[PMT NO]]&lt;&gt;"",EOMONTH(LoanStartDate,ROW(PaymentSchedule43[[#This Row],[PMT NO]])-ROW(PaymentSchedule43[[#Headers],[PMT NO]])-2)+DAY(LoanStartDate),"")</f>
        <v/>
      </c>
      <c r="D18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87" s="32" t="str">
        <f>IF(PaymentSchedule43[[#This Row],[PMT NO]]&lt;&gt;"",ScheduledPayment,"")</f>
        <v/>
      </c>
      <c r="F18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8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87" s="32" t="str">
        <f>IF(PaymentSchedule43[[#This Row],[PMT NO]]&lt;&gt;"",PaymentSchedule43[[#This Row],[TOTAL PAYMENT]]-PaymentSchedule43[[#This Row],[INTEREST]],"")</f>
        <v/>
      </c>
      <c r="I187" s="32" t="str">
        <f>IF(PaymentSchedule43[[#This Row],[PMT NO]]&lt;&gt;"",PaymentSchedule43[[#This Row],[BEGINNING BALANCE]]*(InterestRate/PaymentsPerYear),"")</f>
        <v/>
      </c>
      <c r="J18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87" s="32" t="str">
        <f>IF(PaymentSchedule43[[#This Row],[PMT NO]]&lt;&gt;"",SUM(INDEX(PaymentSchedule43[INTEREST],1,1):PaymentSchedule43[[#This Row],[INTEREST]]),"")</f>
        <v/>
      </c>
    </row>
    <row r="188" spans="2:11" x14ac:dyDescent="0.3">
      <c r="B188" s="30" t="str">
        <f>IF(LoanIsGood,IF(ROW()-ROW(PaymentSchedule43[[#Headers],[PMT NO]])&gt;ScheduledNumberOfPayments,"",ROW()-ROW(PaymentSchedule43[[#Headers],[PMT NO]])),"")</f>
        <v/>
      </c>
      <c r="C188" s="31" t="str">
        <f>IF(PaymentSchedule43[[#This Row],[PMT NO]]&lt;&gt;"",EOMONTH(LoanStartDate,ROW(PaymentSchedule43[[#This Row],[PMT NO]])-ROW(PaymentSchedule43[[#Headers],[PMT NO]])-2)+DAY(LoanStartDate),"")</f>
        <v/>
      </c>
      <c r="D18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88" s="32" t="str">
        <f>IF(PaymentSchedule43[[#This Row],[PMT NO]]&lt;&gt;"",ScheduledPayment,"")</f>
        <v/>
      </c>
      <c r="F18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8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88" s="32" t="str">
        <f>IF(PaymentSchedule43[[#This Row],[PMT NO]]&lt;&gt;"",PaymentSchedule43[[#This Row],[TOTAL PAYMENT]]-PaymentSchedule43[[#This Row],[INTEREST]],"")</f>
        <v/>
      </c>
      <c r="I188" s="32" t="str">
        <f>IF(PaymentSchedule43[[#This Row],[PMT NO]]&lt;&gt;"",PaymentSchedule43[[#This Row],[BEGINNING BALANCE]]*(InterestRate/PaymentsPerYear),"")</f>
        <v/>
      </c>
      <c r="J18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88" s="32" t="str">
        <f>IF(PaymentSchedule43[[#This Row],[PMT NO]]&lt;&gt;"",SUM(INDEX(PaymentSchedule43[INTEREST],1,1):PaymentSchedule43[[#This Row],[INTEREST]]),"")</f>
        <v/>
      </c>
    </row>
    <row r="189" spans="2:11" x14ac:dyDescent="0.3">
      <c r="B189" s="30" t="str">
        <f>IF(LoanIsGood,IF(ROW()-ROW(PaymentSchedule43[[#Headers],[PMT NO]])&gt;ScheduledNumberOfPayments,"",ROW()-ROW(PaymentSchedule43[[#Headers],[PMT NO]])),"")</f>
        <v/>
      </c>
      <c r="C189" s="31" t="str">
        <f>IF(PaymentSchedule43[[#This Row],[PMT NO]]&lt;&gt;"",EOMONTH(LoanStartDate,ROW(PaymentSchedule43[[#This Row],[PMT NO]])-ROW(PaymentSchedule43[[#Headers],[PMT NO]])-2)+DAY(LoanStartDate),"")</f>
        <v/>
      </c>
      <c r="D18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89" s="32" t="str">
        <f>IF(PaymentSchedule43[[#This Row],[PMT NO]]&lt;&gt;"",ScheduledPayment,"")</f>
        <v/>
      </c>
      <c r="F18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8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89" s="32" t="str">
        <f>IF(PaymentSchedule43[[#This Row],[PMT NO]]&lt;&gt;"",PaymentSchedule43[[#This Row],[TOTAL PAYMENT]]-PaymentSchedule43[[#This Row],[INTEREST]],"")</f>
        <v/>
      </c>
      <c r="I189" s="32" t="str">
        <f>IF(PaymentSchedule43[[#This Row],[PMT NO]]&lt;&gt;"",PaymentSchedule43[[#This Row],[BEGINNING BALANCE]]*(InterestRate/PaymentsPerYear),"")</f>
        <v/>
      </c>
      <c r="J18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89" s="32" t="str">
        <f>IF(PaymentSchedule43[[#This Row],[PMT NO]]&lt;&gt;"",SUM(INDEX(PaymentSchedule43[INTEREST],1,1):PaymentSchedule43[[#This Row],[INTEREST]]),"")</f>
        <v/>
      </c>
    </row>
    <row r="190" spans="2:11" x14ac:dyDescent="0.3">
      <c r="B190" s="30" t="str">
        <f>IF(LoanIsGood,IF(ROW()-ROW(PaymentSchedule43[[#Headers],[PMT NO]])&gt;ScheduledNumberOfPayments,"",ROW()-ROW(PaymentSchedule43[[#Headers],[PMT NO]])),"")</f>
        <v/>
      </c>
      <c r="C190" s="31" t="str">
        <f>IF(PaymentSchedule43[[#This Row],[PMT NO]]&lt;&gt;"",EOMONTH(LoanStartDate,ROW(PaymentSchedule43[[#This Row],[PMT NO]])-ROW(PaymentSchedule43[[#Headers],[PMT NO]])-2)+DAY(LoanStartDate),"")</f>
        <v/>
      </c>
      <c r="D19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90" s="32" t="str">
        <f>IF(PaymentSchedule43[[#This Row],[PMT NO]]&lt;&gt;"",ScheduledPayment,"")</f>
        <v/>
      </c>
      <c r="F19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9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90" s="32" t="str">
        <f>IF(PaymentSchedule43[[#This Row],[PMT NO]]&lt;&gt;"",PaymentSchedule43[[#This Row],[TOTAL PAYMENT]]-PaymentSchedule43[[#This Row],[INTEREST]],"")</f>
        <v/>
      </c>
      <c r="I190" s="32" t="str">
        <f>IF(PaymentSchedule43[[#This Row],[PMT NO]]&lt;&gt;"",PaymentSchedule43[[#This Row],[BEGINNING BALANCE]]*(InterestRate/PaymentsPerYear),"")</f>
        <v/>
      </c>
      <c r="J19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90" s="32" t="str">
        <f>IF(PaymentSchedule43[[#This Row],[PMT NO]]&lt;&gt;"",SUM(INDEX(PaymentSchedule43[INTEREST],1,1):PaymentSchedule43[[#This Row],[INTEREST]]),"")</f>
        <v/>
      </c>
    </row>
    <row r="191" spans="2:11" x14ac:dyDescent="0.3">
      <c r="B191" s="30" t="str">
        <f>IF(LoanIsGood,IF(ROW()-ROW(PaymentSchedule43[[#Headers],[PMT NO]])&gt;ScheduledNumberOfPayments,"",ROW()-ROW(PaymentSchedule43[[#Headers],[PMT NO]])),"")</f>
        <v/>
      </c>
      <c r="C191" s="31" t="str">
        <f>IF(PaymentSchedule43[[#This Row],[PMT NO]]&lt;&gt;"",EOMONTH(LoanStartDate,ROW(PaymentSchedule43[[#This Row],[PMT NO]])-ROW(PaymentSchedule43[[#Headers],[PMT NO]])-2)+DAY(LoanStartDate),"")</f>
        <v/>
      </c>
      <c r="D19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91" s="32" t="str">
        <f>IF(PaymentSchedule43[[#This Row],[PMT NO]]&lt;&gt;"",ScheduledPayment,"")</f>
        <v/>
      </c>
      <c r="F19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9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91" s="32" t="str">
        <f>IF(PaymentSchedule43[[#This Row],[PMT NO]]&lt;&gt;"",PaymentSchedule43[[#This Row],[TOTAL PAYMENT]]-PaymentSchedule43[[#This Row],[INTEREST]],"")</f>
        <v/>
      </c>
      <c r="I191" s="32" t="str">
        <f>IF(PaymentSchedule43[[#This Row],[PMT NO]]&lt;&gt;"",PaymentSchedule43[[#This Row],[BEGINNING BALANCE]]*(InterestRate/PaymentsPerYear),"")</f>
        <v/>
      </c>
      <c r="J19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91" s="32" t="str">
        <f>IF(PaymentSchedule43[[#This Row],[PMT NO]]&lt;&gt;"",SUM(INDEX(PaymentSchedule43[INTEREST],1,1):PaymentSchedule43[[#This Row],[INTEREST]]),"")</f>
        <v/>
      </c>
    </row>
    <row r="192" spans="2:11" x14ac:dyDescent="0.3">
      <c r="B192" s="30" t="str">
        <f>IF(LoanIsGood,IF(ROW()-ROW(PaymentSchedule43[[#Headers],[PMT NO]])&gt;ScheduledNumberOfPayments,"",ROW()-ROW(PaymentSchedule43[[#Headers],[PMT NO]])),"")</f>
        <v/>
      </c>
      <c r="C192" s="31" t="str">
        <f>IF(PaymentSchedule43[[#This Row],[PMT NO]]&lt;&gt;"",EOMONTH(LoanStartDate,ROW(PaymentSchedule43[[#This Row],[PMT NO]])-ROW(PaymentSchedule43[[#Headers],[PMT NO]])-2)+DAY(LoanStartDate),"")</f>
        <v/>
      </c>
      <c r="D19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92" s="32" t="str">
        <f>IF(PaymentSchedule43[[#This Row],[PMT NO]]&lt;&gt;"",ScheduledPayment,"")</f>
        <v/>
      </c>
      <c r="F19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9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92" s="32" t="str">
        <f>IF(PaymentSchedule43[[#This Row],[PMT NO]]&lt;&gt;"",PaymentSchedule43[[#This Row],[TOTAL PAYMENT]]-PaymentSchedule43[[#This Row],[INTEREST]],"")</f>
        <v/>
      </c>
      <c r="I192" s="32" t="str">
        <f>IF(PaymentSchedule43[[#This Row],[PMT NO]]&lt;&gt;"",PaymentSchedule43[[#This Row],[BEGINNING BALANCE]]*(InterestRate/PaymentsPerYear),"")</f>
        <v/>
      </c>
      <c r="J19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92" s="32" t="str">
        <f>IF(PaymentSchedule43[[#This Row],[PMT NO]]&lt;&gt;"",SUM(INDEX(PaymentSchedule43[INTEREST],1,1):PaymentSchedule43[[#This Row],[INTEREST]]),"")</f>
        <v/>
      </c>
    </row>
    <row r="193" spans="2:11" x14ac:dyDescent="0.3">
      <c r="B193" s="30" t="str">
        <f>IF(LoanIsGood,IF(ROW()-ROW(PaymentSchedule43[[#Headers],[PMT NO]])&gt;ScheduledNumberOfPayments,"",ROW()-ROW(PaymentSchedule43[[#Headers],[PMT NO]])),"")</f>
        <v/>
      </c>
      <c r="C193" s="31" t="str">
        <f>IF(PaymentSchedule43[[#This Row],[PMT NO]]&lt;&gt;"",EOMONTH(LoanStartDate,ROW(PaymentSchedule43[[#This Row],[PMT NO]])-ROW(PaymentSchedule43[[#Headers],[PMT NO]])-2)+DAY(LoanStartDate),"")</f>
        <v/>
      </c>
      <c r="D19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93" s="32" t="str">
        <f>IF(PaymentSchedule43[[#This Row],[PMT NO]]&lt;&gt;"",ScheduledPayment,"")</f>
        <v/>
      </c>
      <c r="F19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9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93" s="32" t="str">
        <f>IF(PaymentSchedule43[[#This Row],[PMT NO]]&lt;&gt;"",PaymentSchedule43[[#This Row],[TOTAL PAYMENT]]-PaymentSchedule43[[#This Row],[INTEREST]],"")</f>
        <v/>
      </c>
      <c r="I193" s="32" t="str">
        <f>IF(PaymentSchedule43[[#This Row],[PMT NO]]&lt;&gt;"",PaymentSchedule43[[#This Row],[BEGINNING BALANCE]]*(InterestRate/PaymentsPerYear),"")</f>
        <v/>
      </c>
      <c r="J19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93" s="32" t="str">
        <f>IF(PaymentSchedule43[[#This Row],[PMT NO]]&lt;&gt;"",SUM(INDEX(PaymentSchedule43[INTEREST],1,1):PaymentSchedule43[[#This Row],[INTEREST]]),"")</f>
        <v/>
      </c>
    </row>
    <row r="194" spans="2:11" x14ac:dyDescent="0.3">
      <c r="B194" s="30" t="str">
        <f>IF(LoanIsGood,IF(ROW()-ROW(PaymentSchedule43[[#Headers],[PMT NO]])&gt;ScheduledNumberOfPayments,"",ROW()-ROW(PaymentSchedule43[[#Headers],[PMT NO]])),"")</f>
        <v/>
      </c>
      <c r="C194" s="31" t="str">
        <f>IF(PaymentSchedule43[[#This Row],[PMT NO]]&lt;&gt;"",EOMONTH(LoanStartDate,ROW(PaymentSchedule43[[#This Row],[PMT NO]])-ROW(PaymentSchedule43[[#Headers],[PMT NO]])-2)+DAY(LoanStartDate),"")</f>
        <v/>
      </c>
      <c r="D19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94" s="32" t="str">
        <f>IF(PaymentSchedule43[[#This Row],[PMT NO]]&lt;&gt;"",ScheduledPayment,"")</f>
        <v/>
      </c>
      <c r="F19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9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94" s="32" t="str">
        <f>IF(PaymentSchedule43[[#This Row],[PMT NO]]&lt;&gt;"",PaymentSchedule43[[#This Row],[TOTAL PAYMENT]]-PaymentSchedule43[[#This Row],[INTEREST]],"")</f>
        <v/>
      </c>
      <c r="I194" s="32" t="str">
        <f>IF(PaymentSchedule43[[#This Row],[PMT NO]]&lt;&gt;"",PaymentSchedule43[[#This Row],[BEGINNING BALANCE]]*(InterestRate/PaymentsPerYear),"")</f>
        <v/>
      </c>
      <c r="J19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94" s="32" t="str">
        <f>IF(PaymentSchedule43[[#This Row],[PMT NO]]&lt;&gt;"",SUM(INDEX(PaymentSchedule43[INTEREST],1,1):PaymentSchedule43[[#This Row],[INTEREST]]),"")</f>
        <v/>
      </c>
    </row>
    <row r="195" spans="2:11" x14ac:dyDescent="0.3">
      <c r="B195" s="30" t="str">
        <f>IF(LoanIsGood,IF(ROW()-ROW(PaymentSchedule43[[#Headers],[PMT NO]])&gt;ScheduledNumberOfPayments,"",ROW()-ROW(PaymentSchedule43[[#Headers],[PMT NO]])),"")</f>
        <v/>
      </c>
      <c r="C195" s="31" t="str">
        <f>IF(PaymentSchedule43[[#This Row],[PMT NO]]&lt;&gt;"",EOMONTH(LoanStartDate,ROW(PaymentSchedule43[[#This Row],[PMT NO]])-ROW(PaymentSchedule43[[#Headers],[PMT NO]])-2)+DAY(LoanStartDate),"")</f>
        <v/>
      </c>
      <c r="D19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95" s="32" t="str">
        <f>IF(PaymentSchedule43[[#This Row],[PMT NO]]&lt;&gt;"",ScheduledPayment,"")</f>
        <v/>
      </c>
      <c r="F19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9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95" s="32" t="str">
        <f>IF(PaymentSchedule43[[#This Row],[PMT NO]]&lt;&gt;"",PaymentSchedule43[[#This Row],[TOTAL PAYMENT]]-PaymentSchedule43[[#This Row],[INTEREST]],"")</f>
        <v/>
      </c>
      <c r="I195" s="32" t="str">
        <f>IF(PaymentSchedule43[[#This Row],[PMT NO]]&lt;&gt;"",PaymentSchedule43[[#This Row],[BEGINNING BALANCE]]*(InterestRate/PaymentsPerYear),"")</f>
        <v/>
      </c>
      <c r="J19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95" s="32" t="str">
        <f>IF(PaymentSchedule43[[#This Row],[PMT NO]]&lt;&gt;"",SUM(INDEX(PaymentSchedule43[INTEREST],1,1):PaymentSchedule43[[#This Row],[INTEREST]]),"")</f>
        <v/>
      </c>
    </row>
    <row r="196" spans="2:11" x14ac:dyDescent="0.3">
      <c r="B196" s="30" t="str">
        <f>IF(LoanIsGood,IF(ROW()-ROW(PaymentSchedule43[[#Headers],[PMT NO]])&gt;ScheduledNumberOfPayments,"",ROW()-ROW(PaymentSchedule43[[#Headers],[PMT NO]])),"")</f>
        <v/>
      </c>
      <c r="C196" s="31" t="str">
        <f>IF(PaymentSchedule43[[#This Row],[PMT NO]]&lt;&gt;"",EOMONTH(LoanStartDate,ROW(PaymentSchedule43[[#This Row],[PMT NO]])-ROW(PaymentSchedule43[[#Headers],[PMT NO]])-2)+DAY(LoanStartDate),"")</f>
        <v/>
      </c>
      <c r="D19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96" s="32" t="str">
        <f>IF(PaymentSchedule43[[#This Row],[PMT NO]]&lt;&gt;"",ScheduledPayment,"")</f>
        <v/>
      </c>
      <c r="F19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9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96" s="32" t="str">
        <f>IF(PaymentSchedule43[[#This Row],[PMT NO]]&lt;&gt;"",PaymentSchedule43[[#This Row],[TOTAL PAYMENT]]-PaymentSchedule43[[#This Row],[INTEREST]],"")</f>
        <v/>
      </c>
      <c r="I196" s="32" t="str">
        <f>IF(PaymentSchedule43[[#This Row],[PMT NO]]&lt;&gt;"",PaymentSchedule43[[#This Row],[BEGINNING BALANCE]]*(InterestRate/PaymentsPerYear),"")</f>
        <v/>
      </c>
      <c r="J19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96" s="32" t="str">
        <f>IF(PaymentSchedule43[[#This Row],[PMT NO]]&lt;&gt;"",SUM(INDEX(PaymentSchedule43[INTEREST],1,1):PaymentSchedule43[[#This Row],[INTEREST]]),"")</f>
        <v/>
      </c>
    </row>
    <row r="197" spans="2:11" x14ac:dyDescent="0.3">
      <c r="B197" s="30" t="str">
        <f>IF(LoanIsGood,IF(ROW()-ROW(PaymentSchedule43[[#Headers],[PMT NO]])&gt;ScheduledNumberOfPayments,"",ROW()-ROW(PaymentSchedule43[[#Headers],[PMT NO]])),"")</f>
        <v/>
      </c>
      <c r="C197" s="31" t="str">
        <f>IF(PaymentSchedule43[[#This Row],[PMT NO]]&lt;&gt;"",EOMONTH(LoanStartDate,ROW(PaymentSchedule43[[#This Row],[PMT NO]])-ROW(PaymentSchedule43[[#Headers],[PMT NO]])-2)+DAY(LoanStartDate),"")</f>
        <v/>
      </c>
      <c r="D19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97" s="32" t="str">
        <f>IF(PaymentSchedule43[[#This Row],[PMT NO]]&lt;&gt;"",ScheduledPayment,"")</f>
        <v/>
      </c>
      <c r="F19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9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97" s="32" t="str">
        <f>IF(PaymentSchedule43[[#This Row],[PMT NO]]&lt;&gt;"",PaymentSchedule43[[#This Row],[TOTAL PAYMENT]]-PaymentSchedule43[[#This Row],[INTEREST]],"")</f>
        <v/>
      </c>
      <c r="I197" s="32" t="str">
        <f>IF(PaymentSchedule43[[#This Row],[PMT NO]]&lt;&gt;"",PaymentSchedule43[[#This Row],[BEGINNING BALANCE]]*(InterestRate/PaymentsPerYear),"")</f>
        <v/>
      </c>
      <c r="J19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97" s="32" t="str">
        <f>IF(PaymentSchedule43[[#This Row],[PMT NO]]&lt;&gt;"",SUM(INDEX(PaymentSchedule43[INTEREST],1,1):PaymentSchedule43[[#This Row],[INTEREST]]),"")</f>
        <v/>
      </c>
    </row>
    <row r="198" spans="2:11" x14ac:dyDescent="0.3">
      <c r="B198" s="30" t="str">
        <f>IF(LoanIsGood,IF(ROW()-ROW(PaymentSchedule43[[#Headers],[PMT NO]])&gt;ScheduledNumberOfPayments,"",ROW()-ROW(PaymentSchedule43[[#Headers],[PMT NO]])),"")</f>
        <v/>
      </c>
      <c r="C198" s="31" t="str">
        <f>IF(PaymentSchedule43[[#This Row],[PMT NO]]&lt;&gt;"",EOMONTH(LoanStartDate,ROW(PaymentSchedule43[[#This Row],[PMT NO]])-ROW(PaymentSchedule43[[#Headers],[PMT NO]])-2)+DAY(LoanStartDate),"")</f>
        <v/>
      </c>
      <c r="D19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98" s="32" t="str">
        <f>IF(PaymentSchedule43[[#This Row],[PMT NO]]&lt;&gt;"",ScheduledPayment,"")</f>
        <v/>
      </c>
      <c r="F19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9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98" s="32" t="str">
        <f>IF(PaymentSchedule43[[#This Row],[PMT NO]]&lt;&gt;"",PaymentSchedule43[[#This Row],[TOTAL PAYMENT]]-PaymentSchedule43[[#This Row],[INTEREST]],"")</f>
        <v/>
      </c>
      <c r="I198" s="32" t="str">
        <f>IF(PaymentSchedule43[[#This Row],[PMT NO]]&lt;&gt;"",PaymentSchedule43[[#This Row],[BEGINNING BALANCE]]*(InterestRate/PaymentsPerYear),"")</f>
        <v/>
      </c>
      <c r="J19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98" s="32" t="str">
        <f>IF(PaymentSchedule43[[#This Row],[PMT NO]]&lt;&gt;"",SUM(INDEX(PaymentSchedule43[INTEREST],1,1):PaymentSchedule43[[#This Row],[INTEREST]]),"")</f>
        <v/>
      </c>
    </row>
    <row r="199" spans="2:11" x14ac:dyDescent="0.3">
      <c r="B199" s="30" t="str">
        <f>IF(LoanIsGood,IF(ROW()-ROW(PaymentSchedule43[[#Headers],[PMT NO]])&gt;ScheduledNumberOfPayments,"",ROW()-ROW(PaymentSchedule43[[#Headers],[PMT NO]])),"")</f>
        <v/>
      </c>
      <c r="C199" s="31" t="str">
        <f>IF(PaymentSchedule43[[#This Row],[PMT NO]]&lt;&gt;"",EOMONTH(LoanStartDate,ROW(PaymentSchedule43[[#This Row],[PMT NO]])-ROW(PaymentSchedule43[[#Headers],[PMT NO]])-2)+DAY(LoanStartDate),"")</f>
        <v/>
      </c>
      <c r="D19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199" s="32" t="str">
        <f>IF(PaymentSchedule43[[#This Row],[PMT NO]]&lt;&gt;"",ScheduledPayment,"")</f>
        <v/>
      </c>
      <c r="F19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19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199" s="32" t="str">
        <f>IF(PaymentSchedule43[[#This Row],[PMT NO]]&lt;&gt;"",PaymentSchedule43[[#This Row],[TOTAL PAYMENT]]-PaymentSchedule43[[#This Row],[INTEREST]],"")</f>
        <v/>
      </c>
      <c r="I199" s="32" t="str">
        <f>IF(PaymentSchedule43[[#This Row],[PMT NO]]&lt;&gt;"",PaymentSchedule43[[#This Row],[BEGINNING BALANCE]]*(InterestRate/PaymentsPerYear),"")</f>
        <v/>
      </c>
      <c r="J19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199" s="32" t="str">
        <f>IF(PaymentSchedule43[[#This Row],[PMT NO]]&lt;&gt;"",SUM(INDEX(PaymentSchedule43[INTEREST],1,1):PaymentSchedule43[[#This Row],[INTEREST]]),"")</f>
        <v/>
      </c>
    </row>
    <row r="200" spans="2:11" x14ac:dyDescent="0.3">
      <c r="B200" s="30" t="str">
        <f>IF(LoanIsGood,IF(ROW()-ROW(PaymentSchedule43[[#Headers],[PMT NO]])&gt;ScheduledNumberOfPayments,"",ROW()-ROW(PaymentSchedule43[[#Headers],[PMT NO]])),"")</f>
        <v/>
      </c>
      <c r="C200" s="31" t="str">
        <f>IF(PaymentSchedule43[[#This Row],[PMT NO]]&lt;&gt;"",EOMONTH(LoanStartDate,ROW(PaymentSchedule43[[#This Row],[PMT NO]])-ROW(PaymentSchedule43[[#Headers],[PMT NO]])-2)+DAY(LoanStartDate),"")</f>
        <v/>
      </c>
      <c r="D20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00" s="32" t="str">
        <f>IF(PaymentSchedule43[[#This Row],[PMT NO]]&lt;&gt;"",ScheduledPayment,"")</f>
        <v/>
      </c>
      <c r="F20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0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00" s="32" t="str">
        <f>IF(PaymentSchedule43[[#This Row],[PMT NO]]&lt;&gt;"",PaymentSchedule43[[#This Row],[TOTAL PAYMENT]]-PaymentSchedule43[[#This Row],[INTEREST]],"")</f>
        <v/>
      </c>
      <c r="I200" s="32" t="str">
        <f>IF(PaymentSchedule43[[#This Row],[PMT NO]]&lt;&gt;"",PaymentSchedule43[[#This Row],[BEGINNING BALANCE]]*(InterestRate/PaymentsPerYear),"")</f>
        <v/>
      </c>
      <c r="J20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00" s="32" t="str">
        <f>IF(PaymentSchedule43[[#This Row],[PMT NO]]&lt;&gt;"",SUM(INDEX(PaymentSchedule43[INTEREST],1,1):PaymentSchedule43[[#This Row],[INTEREST]]),"")</f>
        <v/>
      </c>
    </row>
    <row r="201" spans="2:11" x14ac:dyDescent="0.3">
      <c r="B201" s="30" t="str">
        <f>IF(LoanIsGood,IF(ROW()-ROW(PaymentSchedule43[[#Headers],[PMT NO]])&gt;ScheduledNumberOfPayments,"",ROW()-ROW(PaymentSchedule43[[#Headers],[PMT NO]])),"")</f>
        <v/>
      </c>
      <c r="C201" s="31" t="str">
        <f>IF(PaymentSchedule43[[#This Row],[PMT NO]]&lt;&gt;"",EOMONTH(LoanStartDate,ROW(PaymentSchedule43[[#This Row],[PMT NO]])-ROW(PaymentSchedule43[[#Headers],[PMT NO]])-2)+DAY(LoanStartDate),"")</f>
        <v/>
      </c>
      <c r="D20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01" s="32" t="str">
        <f>IF(PaymentSchedule43[[#This Row],[PMT NO]]&lt;&gt;"",ScheduledPayment,"")</f>
        <v/>
      </c>
      <c r="F20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0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01" s="32" t="str">
        <f>IF(PaymentSchedule43[[#This Row],[PMT NO]]&lt;&gt;"",PaymentSchedule43[[#This Row],[TOTAL PAYMENT]]-PaymentSchedule43[[#This Row],[INTEREST]],"")</f>
        <v/>
      </c>
      <c r="I201" s="32" t="str">
        <f>IF(PaymentSchedule43[[#This Row],[PMT NO]]&lt;&gt;"",PaymentSchedule43[[#This Row],[BEGINNING BALANCE]]*(InterestRate/PaymentsPerYear),"")</f>
        <v/>
      </c>
      <c r="J20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01" s="32" t="str">
        <f>IF(PaymentSchedule43[[#This Row],[PMT NO]]&lt;&gt;"",SUM(INDEX(PaymentSchedule43[INTEREST],1,1):PaymentSchedule43[[#This Row],[INTEREST]]),"")</f>
        <v/>
      </c>
    </row>
    <row r="202" spans="2:11" x14ac:dyDescent="0.3">
      <c r="B202" s="30" t="str">
        <f>IF(LoanIsGood,IF(ROW()-ROW(PaymentSchedule43[[#Headers],[PMT NO]])&gt;ScheduledNumberOfPayments,"",ROW()-ROW(PaymentSchedule43[[#Headers],[PMT NO]])),"")</f>
        <v/>
      </c>
      <c r="C202" s="31" t="str">
        <f>IF(PaymentSchedule43[[#This Row],[PMT NO]]&lt;&gt;"",EOMONTH(LoanStartDate,ROW(PaymentSchedule43[[#This Row],[PMT NO]])-ROW(PaymentSchedule43[[#Headers],[PMT NO]])-2)+DAY(LoanStartDate),"")</f>
        <v/>
      </c>
      <c r="D20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02" s="32" t="str">
        <f>IF(PaymentSchedule43[[#This Row],[PMT NO]]&lt;&gt;"",ScheduledPayment,"")</f>
        <v/>
      </c>
      <c r="F20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0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02" s="32" t="str">
        <f>IF(PaymentSchedule43[[#This Row],[PMT NO]]&lt;&gt;"",PaymentSchedule43[[#This Row],[TOTAL PAYMENT]]-PaymentSchedule43[[#This Row],[INTEREST]],"")</f>
        <v/>
      </c>
      <c r="I202" s="32" t="str">
        <f>IF(PaymentSchedule43[[#This Row],[PMT NO]]&lt;&gt;"",PaymentSchedule43[[#This Row],[BEGINNING BALANCE]]*(InterestRate/PaymentsPerYear),"")</f>
        <v/>
      </c>
      <c r="J20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02" s="32" t="str">
        <f>IF(PaymentSchedule43[[#This Row],[PMT NO]]&lt;&gt;"",SUM(INDEX(PaymentSchedule43[INTEREST],1,1):PaymentSchedule43[[#This Row],[INTEREST]]),"")</f>
        <v/>
      </c>
    </row>
    <row r="203" spans="2:11" x14ac:dyDescent="0.3">
      <c r="B203" s="30" t="str">
        <f>IF(LoanIsGood,IF(ROW()-ROW(PaymentSchedule43[[#Headers],[PMT NO]])&gt;ScheduledNumberOfPayments,"",ROW()-ROW(PaymentSchedule43[[#Headers],[PMT NO]])),"")</f>
        <v/>
      </c>
      <c r="C203" s="31" t="str">
        <f>IF(PaymentSchedule43[[#This Row],[PMT NO]]&lt;&gt;"",EOMONTH(LoanStartDate,ROW(PaymentSchedule43[[#This Row],[PMT NO]])-ROW(PaymentSchedule43[[#Headers],[PMT NO]])-2)+DAY(LoanStartDate),"")</f>
        <v/>
      </c>
      <c r="D20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03" s="32" t="str">
        <f>IF(PaymentSchedule43[[#This Row],[PMT NO]]&lt;&gt;"",ScheduledPayment,"")</f>
        <v/>
      </c>
      <c r="F20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0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03" s="32" t="str">
        <f>IF(PaymentSchedule43[[#This Row],[PMT NO]]&lt;&gt;"",PaymentSchedule43[[#This Row],[TOTAL PAYMENT]]-PaymentSchedule43[[#This Row],[INTEREST]],"")</f>
        <v/>
      </c>
      <c r="I203" s="32" t="str">
        <f>IF(PaymentSchedule43[[#This Row],[PMT NO]]&lt;&gt;"",PaymentSchedule43[[#This Row],[BEGINNING BALANCE]]*(InterestRate/PaymentsPerYear),"")</f>
        <v/>
      </c>
      <c r="J20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03" s="32" t="str">
        <f>IF(PaymentSchedule43[[#This Row],[PMT NO]]&lt;&gt;"",SUM(INDEX(PaymentSchedule43[INTEREST],1,1):PaymentSchedule43[[#This Row],[INTEREST]]),"")</f>
        <v/>
      </c>
    </row>
    <row r="204" spans="2:11" x14ac:dyDescent="0.3">
      <c r="B204" s="30" t="str">
        <f>IF(LoanIsGood,IF(ROW()-ROW(PaymentSchedule43[[#Headers],[PMT NO]])&gt;ScheduledNumberOfPayments,"",ROW()-ROW(PaymentSchedule43[[#Headers],[PMT NO]])),"")</f>
        <v/>
      </c>
      <c r="C204" s="31" t="str">
        <f>IF(PaymentSchedule43[[#This Row],[PMT NO]]&lt;&gt;"",EOMONTH(LoanStartDate,ROW(PaymentSchedule43[[#This Row],[PMT NO]])-ROW(PaymentSchedule43[[#Headers],[PMT NO]])-2)+DAY(LoanStartDate),"")</f>
        <v/>
      </c>
      <c r="D20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04" s="32" t="str">
        <f>IF(PaymentSchedule43[[#This Row],[PMT NO]]&lt;&gt;"",ScheduledPayment,"")</f>
        <v/>
      </c>
      <c r="F20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0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04" s="32" t="str">
        <f>IF(PaymentSchedule43[[#This Row],[PMT NO]]&lt;&gt;"",PaymentSchedule43[[#This Row],[TOTAL PAYMENT]]-PaymentSchedule43[[#This Row],[INTEREST]],"")</f>
        <v/>
      </c>
      <c r="I204" s="32" t="str">
        <f>IF(PaymentSchedule43[[#This Row],[PMT NO]]&lt;&gt;"",PaymentSchedule43[[#This Row],[BEGINNING BALANCE]]*(InterestRate/PaymentsPerYear),"")</f>
        <v/>
      </c>
      <c r="J20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04" s="32" t="str">
        <f>IF(PaymentSchedule43[[#This Row],[PMT NO]]&lt;&gt;"",SUM(INDEX(PaymentSchedule43[INTEREST],1,1):PaymentSchedule43[[#This Row],[INTEREST]]),"")</f>
        <v/>
      </c>
    </row>
    <row r="205" spans="2:11" x14ac:dyDescent="0.3">
      <c r="B205" s="30" t="str">
        <f>IF(LoanIsGood,IF(ROW()-ROW(PaymentSchedule43[[#Headers],[PMT NO]])&gt;ScheduledNumberOfPayments,"",ROW()-ROW(PaymentSchedule43[[#Headers],[PMT NO]])),"")</f>
        <v/>
      </c>
      <c r="C205" s="31" t="str">
        <f>IF(PaymentSchedule43[[#This Row],[PMT NO]]&lt;&gt;"",EOMONTH(LoanStartDate,ROW(PaymentSchedule43[[#This Row],[PMT NO]])-ROW(PaymentSchedule43[[#Headers],[PMT NO]])-2)+DAY(LoanStartDate),"")</f>
        <v/>
      </c>
      <c r="D20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05" s="32" t="str">
        <f>IF(PaymentSchedule43[[#This Row],[PMT NO]]&lt;&gt;"",ScheduledPayment,"")</f>
        <v/>
      </c>
      <c r="F20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0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05" s="32" t="str">
        <f>IF(PaymentSchedule43[[#This Row],[PMT NO]]&lt;&gt;"",PaymentSchedule43[[#This Row],[TOTAL PAYMENT]]-PaymentSchedule43[[#This Row],[INTEREST]],"")</f>
        <v/>
      </c>
      <c r="I205" s="32" t="str">
        <f>IF(PaymentSchedule43[[#This Row],[PMT NO]]&lt;&gt;"",PaymentSchedule43[[#This Row],[BEGINNING BALANCE]]*(InterestRate/PaymentsPerYear),"")</f>
        <v/>
      </c>
      <c r="J20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05" s="32" t="str">
        <f>IF(PaymentSchedule43[[#This Row],[PMT NO]]&lt;&gt;"",SUM(INDEX(PaymentSchedule43[INTEREST],1,1):PaymentSchedule43[[#This Row],[INTEREST]]),"")</f>
        <v/>
      </c>
    </row>
    <row r="206" spans="2:11" x14ac:dyDescent="0.3">
      <c r="B206" s="30" t="str">
        <f>IF(LoanIsGood,IF(ROW()-ROW(PaymentSchedule43[[#Headers],[PMT NO]])&gt;ScheduledNumberOfPayments,"",ROW()-ROW(PaymentSchedule43[[#Headers],[PMT NO]])),"")</f>
        <v/>
      </c>
      <c r="C206" s="31" t="str">
        <f>IF(PaymentSchedule43[[#This Row],[PMT NO]]&lt;&gt;"",EOMONTH(LoanStartDate,ROW(PaymentSchedule43[[#This Row],[PMT NO]])-ROW(PaymentSchedule43[[#Headers],[PMT NO]])-2)+DAY(LoanStartDate),"")</f>
        <v/>
      </c>
      <c r="D20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06" s="32" t="str">
        <f>IF(PaymentSchedule43[[#This Row],[PMT NO]]&lt;&gt;"",ScheduledPayment,"")</f>
        <v/>
      </c>
      <c r="F20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0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06" s="32" t="str">
        <f>IF(PaymentSchedule43[[#This Row],[PMT NO]]&lt;&gt;"",PaymentSchedule43[[#This Row],[TOTAL PAYMENT]]-PaymentSchedule43[[#This Row],[INTEREST]],"")</f>
        <v/>
      </c>
      <c r="I206" s="32" t="str">
        <f>IF(PaymentSchedule43[[#This Row],[PMT NO]]&lt;&gt;"",PaymentSchedule43[[#This Row],[BEGINNING BALANCE]]*(InterestRate/PaymentsPerYear),"")</f>
        <v/>
      </c>
      <c r="J20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06" s="32" t="str">
        <f>IF(PaymentSchedule43[[#This Row],[PMT NO]]&lt;&gt;"",SUM(INDEX(PaymentSchedule43[INTEREST],1,1):PaymentSchedule43[[#This Row],[INTEREST]]),"")</f>
        <v/>
      </c>
    </row>
    <row r="207" spans="2:11" x14ac:dyDescent="0.3">
      <c r="B207" s="30" t="str">
        <f>IF(LoanIsGood,IF(ROW()-ROW(PaymentSchedule43[[#Headers],[PMT NO]])&gt;ScheduledNumberOfPayments,"",ROW()-ROW(PaymentSchedule43[[#Headers],[PMT NO]])),"")</f>
        <v/>
      </c>
      <c r="C207" s="31" t="str">
        <f>IF(PaymentSchedule43[[#This Row],[PMT NO]]&lt;&gt;"",EOMONTH(LoanStartDate,ROW(PaymentSchedule43[[#This Row],[PMT NO]])-ROW(PaymentSchedule43[[#Headers],[PMT NO]])-2)+DAY(LoanStartDate),"")</f>
        <v/>
      </c>
      <c r="D20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07" s="32" t="str">
        <f>IF(PaymentSchedule43[[#This Row],[PMT NO]]&lt;&gt;"",ScheduledPayment,"")</f>
        <v/>
      </c>
      <c r="F20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0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07" s="32" t="str">
        <f>IF(PaymentSchedule43[[#This Row],[PMT NO]]&lt;&gt;"",PaymentSchedule43[[#This Row],[TOTAL PAYMENT]]-PaymentSchedule43[[#This Row],[INTEREST]],"")</f>
        <v/>
      </c>
      <c r="I207" s="32" t="str">
        <f>IF(PaymentSchedule43[[#This Row],[PMT NO]]&lt;&gt;"",PaymentSchedule43[[#This Row],[BEGINNING BALANCE]]*(InterestRate/PaymentsPerYear),"")</f>
        <v/>
      </c>
      <c r="J20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07" s="32" t="str">
        <f>IF(PaymentSchedule43[[#This Row],[PMT NO]]&lt;&gt;"",SUM(INDEX(PaymentSchedule43[INTEREST],1,1):PaymentSchedule43[[#This Row],[INTEREST]]),"")</f>
        <v/>
      </c>
    </row>
    <row r="208" spans="2:11" x14ac:dyDescent="0.3">
      <c r="B208" s="30" t="str">
        <f>IF(LoanIsGood,IF(ROW()-ROW(PaymentSchedule43[[#Headers],[PMT NO]])&gt;ScheduledNumberOfPayments,"",ROW()-ROW(PaymentSchedule43[[#Headers],[PMT NO]])),"")</f>
        <v/>
      </c>
      <c r="C208" s="31" t="str">
        <f>IF(PaymentSchedule43[[#This Row],[PMT NO]]&lt;&gt;"",EOMONTH(LoanStartDate,ROW(PaymentSchedule43[[#This Row],[PMT NO]])-ROW(PaymentSchedule43[[#Headers],[PMT NO]])-2)+DAY(LoanStartDate),"")</f>
        <v/>
      </c>
      <c r="D20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08" s="32" t="str">
        <f>IF(PaymentSchedule43[[#This Row],[PMT NO]]&lt;&gt;"",ScheduledPayment,"")</f>
        <v/>
      </c>
      <c r="F20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0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08" s="32" t="str">
        <f>IF(PaymentSchedule43[[#This Row],[PMT NO]]&lt;&gt;"",PaymentSchedule43[[#This Row],[TOTAL PAYMENT]]-PaymentSchedule43[[#This Row],[INTEREST]],"")</f>
        <v/>
      </c>
      <c r="I208" s="32" t="str">
        <f>IF(PaymentSchedule43[[#This Row],[PMT NO]]&lt;&gt;"",PaymentSchedule43[[#This Row],[BEGINNING BALANCE]]*(InterestRate/PaymentsPerYear),"")</f>
        <v/>
      </c>
      <c r="J20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08" s="32" t="str">
        <f>IF(PaymentSchedule43[[#This Row],[PMT NO]]&lt;&gt;"",SUM(INDEX(PaymentSchedule43[INTEREST],1,1):PaymentSchedule43[[#This Row],[INTEREST]]),"")</f>
        <v/>
      </c>
    </row>
    <row r="209" spans="2:11" x14ac:dyDescent="0.3">
      <c r="B209" s="30" t="str">
        <f>IF(LoanIsGood,IF(ROW()-ROW(PaymentSchedule43[[#Headers],[PMT NO]])&gt;ScheduledNumberOfPayments,"",ROW()-ROW(PaymentSchedule43[[#Headers],[PMT NO]])),"")</f>
        <v/>
      </c>
      <c r="C209" s="31" t="str">
        <f>IF(PaymentSchedule43[[#This Row],[PMT NO]]&lt;&gt;"",EOMONTH(LoanStartDate,ROW(PaymentSchedule43[[#This Row],[PMT NO]])-ROW(PaymentSchedule43[[#Headers],[PMT NO]])-2)+DAY(LoanStartDate),"")</f>
        <v/>
      </c>
      <c r="D20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09" s="32" t="str">
        <f>IF(PaymentSchedule43[[#This Row],[PMT NO]]&lt;&gt;"",ScheduledPayment,"")</f>
        <v/>
      </c>
      <c r="F20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0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09" s="32" t="str">
        <f>IF(PaymentSchedule43[[#This Row],[PMT NO]]&lt;&gt;"",PaymentSchedule43[[#This Row],[TOTAL PAYMENT]]-PaymentSchedule43[[#This Row],[INTEREST]],"")</f>
        <v/>
      </c>
      <c r="I209" s="32" t="str">
        <f>IF(PaymentSchedule43[[#This Row],[PMT NO]]&lt;&gt;"",PaymentSchedule43[[#This Row],[BEGINNING BALANCE]]*(InterestRate/PaymentsPerYear),"")</f>
        <v/>
      </c>
      <c r="J20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09" s="32" t="str">
        <f>IF(PaymentSchedule43[[#This Row],[PMT NO]]&lt;&gt;"",SUM(INDEX(PaymentSchedule43[INTEREST],1,1):PaymentSchedule43[[#This Row],[INTEREST]]),"")</f>
        <v/>
      </c>
    </row>
    <row r="210" spans="2:11" x14ac:dyDescent="0.3">
      <c r="B210" s="30" t="str">
        <f>IF(LoanIsGood,IF(ROW()-ROW(PaymentSchedule43[[#Headers],[PMT NO]])&gt;ScheduledNumberOfPayments,"",ROW()-ROW(PaymentSchedule43[[#Headers],[PMT NO]])),"")</f>
        <v/>
      </c>
      <c r="C210" s="31" t="str">
        <f>IF(PaymentSchedule43[[#This Row],[PMT NO]]&lt;&gt;"",EOMONTH(LoanStartDate,ROW(PaymentSchedule43[[#This Row],[PMT NO]])-ROW(PaymentSchedule43[[#Headers],[PMT NO]])-2)+DAY(LoanStartDate),"")</f>
        <v/>
      </c>
      <c r="D21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10" s="32" t="str">
        <f>IF(PaymentSchedule43[[#This Row],[PMT NO]]&lt;&gt;"",ScheduledPayment,"")</f>
        <v/>
      </c>
      <c r="F21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1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10" s="32" t="str">
        <f>IF(PaymentSchedule43[[#This Row],[PMT NO]]&lt;&gt;"",PaymentSchedule43[[#This Row],[TOTAL PAYMENT]]-PaymentSchedule43[[#This Row],[INTEREST]],"")</f>
        <v/>
      </c>
      <c r="I210" s="32" t="str">
        <f>IF(PaymentSchedule43[[#This Row],[PMT NO]]&lt;&gt;"",PaymentSchedule43[[#This Row],[BEGINNING BALANCE]]*(InterestRate/PaymentsPerYear),"")</f>
        <v/>
      </c>
      <c r="J21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10" s="32" t="str">
        <f>IF(PaymentSchedule43[[#This Row],[PMT NO]]&lt;&gt;"",SUM(INDEX(PaymentSchedule43[INTEREST],1,1):PaymentSchedule43[[#This Row],[INTEREST]]),"")</f>
        <v/>
      </c>
    </row>
    <row r="211" spans="2:11" x14ac:dyDescent="0.3">
      <c r="B211" s="30" t="str">
        <f>IF(LoanIsGood,IF(ROW()-ROW(PaymentSchedule43[[#Headers],[PMT NO]])&gt;ScheduledNumberOfPayments,"",ROW()-ROW(PaymentSchedule43[[#Headers],[PMT NO]])),"")</f>
        <v/>
      </c>
      <c r="C211" s="31" t="str">
        <f>IF(PaymentSchedule43[[#This Row],[PMT NO]]&lt;&gt;"",EOMONTH(LoanStartDate,ROW(PaymentSchedule43[[#This Row],[PMT NO]])-ROW(PaymentSchedule43[[#Headers],[PMT NO]])-2)+DAY(LoanStartDate),"")</f>
        <v/>
      </c>
      <c r="D21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11" s="32" t="str">
        <f>IF(PaymentSchedule43[[#This Row],[PMT NO]]&lt;&gt;"",ScheduledPayment,"")</f>
        <v/>
      </c>
      <c r="F21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1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11" s="32" t="str">
        <f>IF(PaymentSchedule43[[#This Row],[PMT NO]]&lt;&gt;"",PaymentSchedule43[[#This Row],[TOTAL PAYMENT]]-PaymentSchedule43[[#This Row],[INTEREST]],"")</f>
        <v/>
      </c>
      <c r="I211" s="32" t="str">
        <f>IF(PaymentSchedule43[[#This Row],[PMT NO]]&lt;&gt;"",PaymentSchedule43[[#This Row],[BEGINNING BALANCE]]*(InterestRate/PaymentsPerYear),"")</f>
        <v/>
      </c>
      <c r="J21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11" s="32" t="str">
        <f>IF(PaymentSchedule43[[#This Row],[PMT NO]]&lt;&gt;"",SUM(INDEX(PaymentSchedule43[INTEREST],1,1):PaymentSchedule43[[#This Row],[INTEREST]]),"")</f>
        <v/>
      </c>
    </row>
    <row r="212" spans="2:11" x14ac:dyDescent="0.3">
      <c r="B212" s="30" t="str">
        <f>IF(LoanIsGood,IF(ROW()-ROW(PaymentSchedule43[[#Headers],[PMT NO]])&gt;ScheduledNumberOfPayments,"",ROW()-ROW(PaymentSchedule43[[#Headers],[PMT NO]])),"")</f>
        <v/>
      </c>
      <c r="C212" s="31" t="str">
        <f>IF(PaymentSchedule43[[#This Row],[PMT NO]]&lt;&gt;"",EOMONTH(LoanStartDate,ROW(PaymentSchedule43[[#This Row],[PMT NO]])-ROW(PaymentSchedule43[[#Headers],[PMT NO]])-2)+DAY(LoanStartDate),"")</f>
        <v/>
      </c>
      <c r="D21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12" s="32" t="str">
        <f>IF(PaymentSchedule43[[#This Row],[PMT NO]]&lt;&gt;"",ScheduledPayment,"")</f>
        <v/>
      </c>
      <c r="F21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1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12" s="32" t="str">
        <f>IF(PaymentSchedule43[[#This Row],[PMT NO]]&lt;&gt;"",PaymentSchedule43[[#This Row],[TOTAL PAYMENT]]-PaymentSchedule43[[#This Row],[INTEREST]],"")</f>
        <v/>
      </c>
      <c r="I212" s="32" t="str">
        <f>IF(PaymentSchedule43[[#This Row],[PMT NO]]&lt;&gt;"",PaymentSchedule43[[#This Row],[BEGINNING BALANCE]]*(InterestRate/PaymentsPerYear),"")</f>
        <v/>
      </c>
      <c r="J21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12" s="32" t="str">
        <f>IF(PaymentSchedule43[[#This Row],[PMT NO]]&lt;&gt;"",SUM(INDEX(PaymentSchedule43[INTEREST],1,1):PaymentSchedule43[[#This Row],[INTEREST]]),"")</f>
        <v/>
      </c>
    </row>
    <row r="213" spans="2:11" x14ac:dyDescent="0.3">
      <c r="B213" s="30" t="str">
        <f>IF(LoanIsGood,IF(ROW()-ROW(PaymentSchedule43[[#Headers],[PMT NO]])&gt;ScheduledNumberOfPayments,"",ROW()-ROW(PaymentSchedule43[[#Headers],[PMT NO]])),"")</f>
        <v/>
      </c>
      <c r="C213" s="31" t="str">
        <f>IF(PaymentSchedule43[[#This Row],[PMT NO]]&lt;&gt;"",EOMONTH(LoanStartDate,ROW(PaymentSchedule43[[#This Row],[PMT NO]])-ROW(PaymentSchedule43[[#Headers],[PMT NO]])-2)+DAY(LoanStartDate),"")</f>
        <v/>
      </c>
      <c r="D21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13" s="32" t="str">
        <f>IF(PaymentSchedule43[[#This Row],[PMT NO]]&lt;&gt;"",ScheduledPayment,"")</f>
        <v/>
      </c>
      <c r="F21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1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13" s="32" t="str">
        <f>IF(PaymentSchedule43[[#This Row],[PMT NO]]&lt;&gt;"",PaymentSchedule43[[#This Row],[TOTAL PAYMENT]]-PaymentSchedule43[[#This Row],[INTEREST]],"")</f>
        <v/>
      </c>
      <c r="I213" s="32" t="str">
        <f>IF(PaymentSchedule43[[#This Row],[PMT NO]]&lt;&gt;"",PaymentSchedule43[[#This Row],[BEGINNING BALANCE]]*(InterestRate/PaymentsPerYear),"")</f>
        <v/>
      </c>
      <c r="J21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13" s="32" t="str">
        <f>IF(PaymentSchedule43[[#This Row],[PMT NO]]&lt;&gt;"",SUM(INDEX(PaymentSchedule43[INTEREST],1,1):PaymentSchedule43[[#This Row],[INTEREST]]),"")</f>
        <v/>
      </c>
    </row>
    <row r="214" spans="2:11" x14ac:dyDescent="0.3">
      <c r="B214" s="30" t="str">
        <f>IF(LoanIsGood,IF(ROW()-ROW(PaymentSchedule43[[#Headers],[PMT NO]])&gt;ScheduledNumberOfPayments,"",ROW()-ROW(PaymentSchedule43[[#Headers],[PMT NO]])),"")</f>
        <v/>
      </c>
      <c r="C214" s="31" t="str">
        <f>IF(PaymentSchedule43[[#This Row],[PMT NO]]&lt;&gt;"",EOMONTH(LoanStartDate,ROW(PaymentSchedule43[[#This Row],[PMT NO]])-ROW(PaymentSchedule43[[#Headers],[PMT NO]])-2)+DAY(LoanStartDate),"")</f>
        <v/>
      </c>
      <c r="D21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14" s="32" t="str">
        <f>IF(PaymentSchedule43[[#This Row],[PMT NO]]&lt;&gt;"",ScheduledPayment,"")</f>
        <v/>
      </c>
      <c r="F21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1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14" s="32" t="str">
        <f>IF(PaymentSchedule43[[#This Row],[PMT NO]]&lt;&gt;"",PaymentSchedule43[[#This Row],[TOTAL PAYMENT]]-PaymentSchedule43[[#This Row],[INTEREST]],"")</f>
        <v/>
      </c>
      <c r="I214" s="32" t="str">
        <f>IF(PaymentSchedule43[[#This Row],[PMT NO]]&lt;&gt;"",PaymentSchedule43[[#This Row],[BEGINNING BALANCE]]*(InterestRate/PaymentsPerYear),"")</f>
        <v/>
      </c>
      <c r="J21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14" s="32" t="str">
        <f>IF(PaymentSchedule43[[#This Row],[PMT NO]]&lt;&gt;"",SUM(INDEX(PaymentSchedule43[INTEREST],1,1):PaymentSchedule43[[#This Row],[INTEREST]]),"")</f>
        <v/>
      </c>
    </row>
    <row r="215" spans="2:11" x14ac:dyDescent="0.3">
      <c r="B215" s="30" t="str">
        <f>IF(LoanIsGood,IF(ROW()-ROW(PaymentSchedule43[[#Headers],[PMT NO]])&gt;ScheduledNumberOfPayments,"",ROW()-ROW(PaymentSchedule43[[#Headers],[PMT NO]])),"")</f>
        <v/>
      </c>
      <c r="C215" s="31" t="str">
        <f>IF(PaymentSchedule43[[#This Row],[PMT NO]]&lt;&gt;"",EOMONTH(LoanStartDate,ROW(PaymentSchedule43[[#This Row],[PMT NO]])-ROW(PaymentSchedule43[[#Headers],[PMT NO]])-2)+DAY(LoanStartDate),"")</f>
        <v/>
      </c>
      <c r="D21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15" s="32" t="str">
        <f>IF(PaymentSchedule43[[#This Row],[PMT NO]]&lt;&gt;"",ScheduledPayment,"")</f>
        <v/>
      </c>
      <c r="F21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1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15" s="32" t="str">
        <f>IF(PaymentSchedule43[[#This Row],[PMT NO]]&lt;&gt;"",PaymentSchedule43[[#This Row],[TOTAL PAYMENT]]-PaymentSchedule43[[#This Row],[INTEREST]],"")</f>
        <v/>
      </c>
      <c r="I215" s="32" t="str">
        <f>IF(PaymentSchedule43[[#This Row],[PMT NO]]&lt;&gt;"",PaymentSchedule43[[#This Row],[BEGINNING BALANCE]]*(InterestRate/PaymentsPerYear),"")</f>
        <v/>
      </c>
      <c r="J21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15" s="32" t="str">
        <f>IF(PaymentSchedule43[[#This Row],[PMT NO]]&lt;&gt;"",SUM(INDEX(PaymentSchedule43[INTEREST],1,1):PaymentSchedule43[[#This Row],[INTEREST]]),"")</f>
        <v/>
      </c>
    </row>
    <row r="216" spans="2:11" x14ac:dyDescent="0.3">
      <c r="B216" s="30" t="str">
        <f>IF(LoanIsGood,IF(ROW()-ROW(PaymentSchedule43[[#Headers],[PMT NO]])&gt;ScheduledNumberOfPayments,"",ROW()-ROW(PaymentSchedule43[[#Headers],[PMT NO]])),"")</f>
        <v/>
      </c>
      <c r="C216" s="31" t="str">
        <f>IF(PaymentSchedule43[[#This Row],[PMT NO]]&lt;&gt;"",EOMONTH(LoanStartDate,ROW(PaymentSchedule43[[#This Row],[PMT NO]])-ROW(PaymentSchedule43[[#Headers],[PMT NO]])-2)+DAY(LoanStartDate),"")</f>
        <v/>
      </c>
      <c r="D21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16" s="32" t="str">
        <f>IF(PaymentSchedule43[[#This Row],[PMT NO]]&lt;&gt;"",ScheduledPayment,"")</f>
        <v/>
      </c>
      <c r="F21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1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16" s="32" t="str">
        <f>IF(PaymentSchedule43[[#This Row],[PMT NO]]&lt;&gt;"",PaymentSchedule43[[#This Row],[TOTAL PAYMENT]]-PaymentSchedule43[[#This Row],[INTEREST]],"")</f>
        <v/>
      </c>
      <c r="I216" s="32" t="str">
        <f>IF(PaymentSchedule43[[#This Row],[PMT NO]]&lt;&gt;"",PaymentSchedule43[[#This Row],[BEGINNING BALANCE]]*(InterestRate/PaymentsPerYear),"")</f>
        <v/>
      </c>
      <c r="J21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16" s="32" t="str">
        <f>IF(PaymentSchedule43[[#This Row],[PMT NO]]&lt;&gt;"",SUM(INDEX(PaymentSchedule43[INTEREST],1,1):PaymentSchedule43[[#This Row],[INTEREST]]),"")</f>
        <v/>
      </c>
    </row>
    <row r="217" spans="2:11" x14ac:dyDescent="0.3">
      <c r="B217" s="30" t="str">
        <f>IF(LoanIsGood,IF(ROW()-ROW(PaymentSchedule43[[#Headers],[PMT NO]])&gt;ScheduledNumberOfPayments,"",ROW()-ROW(PaymentSchedule43[[#Headers],[PMT NO]])),"")</f>
        <v/>
      </c>
      <c r="C217" s="31" t="str">
        <f>IF(PaymentSchedule43[[#This Row],[PMT NO]]&lt;&gt;"",EOMONTH(LoanStartDate,ROW(PaymentSchedule43[[#This Row],[PMT NO]])-ROW(PaymentSchedule43[[#Headers],[PMT NO]])-2)+DAY(LoanStartDate),"")</f>
        <v/>
      </c>
      <c r="D21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17" s="32" t="str">
        <f>IF(PaymentSchedule43[[#This Row],[PMT NO]]&lt;&gt;"",ScheduledPayment,"")</f>
        <v/>
      </c>
      <c r="F21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1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17" s="32" t="str">
        <f>IF(PaymentSchedule43[[#This Row],[PMT NO]]&lt;&gt;"",PaymentSchedule43[[#This Row],[TOTAL PAYMENT]]-PaymentSchedule43[[#This Row],[INTEREST]],"")</f>
        <v/>
      </c>
      <c r="I217" s="32" t="str">
        <f>IF(PaymentSchedule43[[#This Row],[PMT NO]]&lt;&gt;"",PaymentSchedule43[[#This Row],[BEGINNING BALANCE]]*(InterestRate/PaymentsPerYear),"")</f>
        <v/>
      </c>
      <c r="J21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17" s="32" t="str">
        <f>IF(PaymentSchedule43[[#This Row],[PMT NO]]&lt;&gt;"",SUM(INDEX(PaymentSchedule43[INTEREST],1,1):PaymentSchedule43[[#This Row],[INTEREST]]),"")</f>
        <v/>
      </c>
    </row>
    <row r="218" spans="2:11" x14ac:dyDescent="0.3">
      <c r="B218" s="30" t="str">
        <f>IF(LoanIsGood,IF(ROW()-ROW(PaymentSchedule43[[#Headers],[PMT NO]])&gt;ScheduledNumberOfPayments,"",ROW()-ROW(PaymentSchedule43[[#Headers],[PMT NO]])),"")</f>
        <v/>
      </c>
      <c r="C218" s="31" t="str">
        <f>IF(PaymentSchedule43[[#This Row],[PMT NO]]&lt;&gt;"",EOMONTH(LoanStartDate,ROW(PaymentSchedule43[[#This Row],[PMT NO]])-ROW(PaymentSchedule43[[#Headers],[PMT NO]])-2)+DAY(LoanStartDate),"")</f>
        <v/>
      </c>
      <c r="D21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18" s="32" t="str">
        <f>IF(PaymentSchedule43[[#This Row],[PMT NO]]&lt;&gt;"",ScheduledPayment,"")</f>
        <v/>
      </c>
      <c r="F21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1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18" s="32" t="str">
        <f>IF(PaymentSchedule43[[#This Row],[PMT NO]]&lt;&gt;"",PaymentSchedule43[[#This Row],[TOTAL PAYMENT]]-PaymentSchedule43[[#This Row],[INTEREST]],"")</f>
        <v/>
      </c>
      <c r="I218" s="32" t="str">
        <f>IF(PaymentSchedule43[[#This Row],[PMT NO]]&lt;&gt;"",PaymentSchedule43[[#This Row],[BEGINNING BALANCE]]*(InterestRate/PaymentsPerYear),"")</f>
        <v/>
      </c>
      <c r="J21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18" s="32" t="str">
        <f>IF(PaymentSchedule43[[#This Row],[PMT NO]]&lt;&gt;"",SUM(INDEX(PaymentSchedule43[INTEREST],1,1):PaymentSchedule43[[#This Row],[INTEREST]]),"")</f>
        <v/>
      </c>
    </row>
    <row r="219" spans="2:11" x14ac:dyDescent="0.3">
      <c r="B219" s="30" t="str">
        <f>IF(LoanIsGood,IF(ROW()-ROW(PaymentSchedule43[[#Headers],[PMT NO]])&gt;ScheduledNumberOfPayments,"",ROW()-ROW(PaymentSchedule43[[#Headers],[PMT NO]])),"")</f>
        <v/>
      </c>
      <c r="C219" s="31" t="str">
        <f>IF(PaymentSchedule43[[#This Row],[PMT NO]]&lt;&gt;"",EOMONTH(LoanStartDate,ROW(PaymentSchedule43[[#This Row],[PMT NO]])-ROW(PaymentSchedule43[[#Headers],[PMT NO]])-2)+DAY(LoanStartDate),"")</f>
        <v/>
      </c>
      <c r="D21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19" s="32" t="str">
        <f>IF(PaymentSchedule43[[#This Row],[PMT NO]]&lt;&gt;"",ScheduledPayment,"")</f>
        <v/>
      </c>
      <c r="F21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1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19" s="32" t="str">
        <f>IF(PaymentSchedule43[[#This Row],[PMT NO]]&lt;&gt;"",PaymentSchedule43[[#This Row],[TOTAL PAYMENT]]-PaymentSchedule43[[#This Row],[INTEREST]],"")</f>
        <v/>
      </c>
      <c r="I219" s="32" t="str">
        <f>IF(PaymentSchedule43[[#This Row],[PMT NO]]&lt;&gt;"",PaymentSchedule43[[#This Row],[BEGINNING BALANCE]]*(InterestRate/PaymentsPerYear),"")</f>
        <v/>
      </c>
      <c r="J21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19" s="32" t="str">
        <f>IF(PaymentSchedule43[[#This Row],[PMT NO]]&lt;&gt;"",SUM(INDEX(PaymentSchedule43[INTEREST],1,1):PaymentSchedule43[[#This Row],[INTEREST]]),"")</f>
        <v/>
      </c>
    </row>
    <row r="220" spans="2:11" x14ac:dyDescent="0.3">
      <c r="B220" s="30" t="str">
        <f>IF(LoanIsGood,IF(ROW()-ROW(PaymentSchedule43[[#Headers],[PMT NO]])&gt;ScheduledNumberOfPayments,"",ROW()-ROW(PaymentSchedule43[[#Headers],[PMT NO]])),"")</f>
        <v/>
      </c>
      <c r="C220" s="31" t="str">
        <f>IF(PaymentSchedule43[[#This Row],[PMT NO]]&lt;&gt;"",EOMONTH(LoanStartDate,ROW(PaymentSchedule43[[#This Row],[PMT NO]])-ROW(PaymentSchedule43[[#Headers],[PMT NO]])-2)+DAY(LoanStartDate),"")</f>
        <v/>
      </c>
      <c r="D22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20" s="32" t="str">
        <f>IF(PaymentSchedule43[[#This Row],[PMT NO]]&lt;&gt;"",ScheduledPayment,"")</f>
        <v/>
      </c>
      <c r="F22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2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20" s="32" t="str">
        <f>IF(PaymentSchedule43[[#This Row],[PMT NO]]&lt;&gt;"",PaymentSchedule43[[#This Row],[TOTAL PAYMENT]]-PaymentSchedule43[[#This Row],[INTEREST]],"")</f>
        <v/>
      </c>
      <c r="I220" s="32" t="str">
        <f>IF(PaymentSchedule43[[#This Row],[PMT NO]]&lt;&gt;"",PaymentSchedule43[[#This Row],[BEGINNING BALANCE]]*(InterestRate/PaymentsPerYear),"")</f>
        <v/>
      </c>
      <c r="J22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20" s="32" t="str">
        <f>IF(PaymentSchedule43[[#This Row],[PMT NO]]&lt;&gt;"",SUM(INDEX(PaymentSchedule43[INTEREST],1,1):PaymentSchedule43[[#This Row],[INTEREST]]),"")</f>
        <v/>
      </c>
    </row>
    <row r="221" spans="2:11" x14ac:dyDescent="0.3">
      <c r="B221" s="30" t="str">
        <f>IF(LoanIsGood,IF(ROW()-ROW(PaymentSchedule43[[#Headers],[PMT NO]])&gt;ScheduledNumberOfPayments,"",ROW()-ROW(PaymentSchedule43[[#Headers],[PMT NO]])),"")</f>
        <v/>
      </c>
      <c r="C221" s="31" t="str">
        <f>IF(PaymentSchedule43[[#This Row],[PMT NO]]&lt;&gt;"",EOMONTH(LoanStartDate,ROW(PaymentSchedule43[[#This Row],[PMT NO]])-ROW(PaymentSchedule43[[#Headers],[PMT NO]])-2)+DAY(LoanStartDate),"")</f>
        <v/>
      </c>
      <c r="D22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21" s="32" t="str">
        <f>IF(PaymentSchedule43[[#This Row],[PMT NO]]&lt;&gt;"",ScheduledPayment,"")</f>
        <v/>
      </c>
      <c r="F22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2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21" s="32" t="str">
        <f>IF(PaymentSchedule43[[#This Row],[PMT NO]]&lt;&gt;"",PaymentSchedule43[[#This Row],[TOTAL PAYMENT]]-PaymentSchedule43[[#This Row],[INTEREST]],"")</f>
        <v/>
      </c>
      <c r="I221" s="32" t="str">
        <f>IF(PaymentSchedule43[[#This Row],[PMT NO]]&lt;&gt;"",PaymentSchedule43[[#This Row],[BEGINNING BALANCE]]*(InterestRate/PaymentsPerYear),"")</f>
        <v/>
      </c>
      <c r="J22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21" s="32" t="str">
        <f>IF(PaymentSchedule43[[#This Row],[PMT NO]]&lt;&gt;"",SUM(INDEX(PaymentSchedule43[INTEREST],1,1):PaymentSchedule43[[#This Row],[INTEREST]]),"")</f>
        <v/>
      </c>
    </row>
    <row r="222" spans="2:11" x14ac:dyDescent="0.3">
      <c r="B222" s="30" t="str">
        <f>IF(LoanIsGood,IF(ROW()-ROW(PaymentSchedule43[[#Headers],[PMT NO]])&gt;ScheduledNumberOfPayments,"",ROW()-ROW(PaymentSchedule43[[#Headers],[PMT NO]])),"")</f>
        <v/>
      </c>
      <c r="C222" s="31" t="str">
        <f>IF(PaymentSchedule43[[#This Row],[PMT NO]]&lt;&gt;"",EOMONTH(LoanStartDate,ROW(PaymentSchedule43[[#This Row],[PMT NO]])-ROW(PaymentSchedule43[[#Headers],[PMT NO]])-2)+DAY(LoanStartDate),"")</f>
        <v/>
      </c>
      <c r="D22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22" s="32" t="str">
        <f>IF(PaymentSchedule43[[#This Row],[PMT NO]]&lt;&gt;"",ScheduledPayment,"")</f>
        <v/>
      </c>
      <c r="F22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2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22" s="32" t="str">
        <f>IF(PaymentSchedule43[[#This Row],[PMT NO]]&lt;&gt;"",PaymentSchedule43[[#This Row],[TOTAL PAYMENT]]-PaymentSchedule43[[#This Row],[INTEREST]],"")</f>
        <v/>
      </c>
      <c r="I222" s="32" t="str">
        <f>IF(PaymentSchedule43[[#This Row],[PMT NO]]&lt;&gt;"",PaymentSchedule43[[#This Row],[BEGINNING BALANCE]]*(InterestRate/PaymentsPerYear),"")</f>
        <v/>
      </c>
      <c r="J22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22" s="32" t="str">
        <f>IF(PaymentSchedule43[[#This Row],[PMT NO]]&lt;&gt;"",SUM(INDEX(PaymentSchedule43[INTEREST],1,1):PaymentSchedule43[[#This Row],[INTEREST]]),"")</f>
        <v/>
      </c>
    </row>
    <row r="223" spans="2:11" x14ac:dyDescent="0.3">
      <c r="B223" s="30" t="str">
        <f>IF(LoanIsGood,IF(ROW()-ROW(PaymentSchedule43[[#Headers],[PMT NO]])&gt;ScheduledNumberOfPayments,"",ROW()-ROW(PaymentSchedule43[[#Headers],[PMT NO]])),"")</f>
        <v/>
      </c>
      <c r="C223" s="31" t="str">
        <f>IF(PaymentSchedule43[[#This Row],[PMT NO]]&lt;&gt;"",EOMONTH(LoanStartDate,ROW(PaymentSchedule43[[#This Row],[PMT NO]])-ROW(PaymentSchedule43[[#Headers],[PMT NO]])-2)+DAY(LoanStartDate),"")</f>
        <v/>
      </c>
      <c r="D22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23" s="32" t="str">
        <f>IF(PaymentSchedule43[[#This Row],[PMT NO]]&lt;&gt;"",ScheduledPayment,"")</f>
        <v/>
      </c>
      <c r="F22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2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23" s="32" t="str">
        <f>IF(PaymentSchedule43[[#This Row],[PMT NO]]&lt;&gt;"",PaymentSchedule43[[#This Row],[TOTAL PAYMENT]]-PaymentSchedule43[[#This Row],[INTEREST]],"")</f>
        <v/>
      </c>
      <c r="I223" s="32" t="str">
        <f>IF(PaymentSchedule43[[#This Row],[PMT NO]]&lt;&gt;"",PaymentSchedule43[[#This Row],[BEGINNING BALANCE]]*(InterestRate/PaymentsPerYear),"")</f>
        <v/>
      </c>
      <c r="J22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23" s="32" t="str">
        <f>IF(PaymentSchedule43[[#This Row],[PMT NO]]&lt;&gt;"",SUM(INDEX(PaymentSchedule43[INTEREST],1,1):PaymentSchedule43[[#This Row],[INTEREST]]),"")</f>
        <v/>
      </c>
    </row>
    <row r="224" spans="2:11" x14ac:dyDescent="0.3">
      <c r="B224" s="30" t="str">
        <f>IF(LoanIsGood,IF(ROW()-ROW(PaymentSchedule43[[#Headers],[PMT NO]])&gt;ScheduledNumberOfPayments,"",ROW()-ROW(PaymentSchedule43[[#Headers],[PMT NO]])),"")</f>
        <v/>
      </c>
      <c r="C224" s="31" t="str">
        <f>IF(PaymentSchedule43[[#This Row],[PMT NO]]&lt;&gt;"",EOMONTH(LoanStartDate,ROW(PaymentSchedule43[[#This Row],[PMT NO]])-ROW(PaymentSchedule43[[#Headers],[PMT NO]])-2)+DAY(LoanStartDate),"")</f>
        <v/>
      </c>
      <c r="D22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24" s="32" t="str">
        <f>IF(PaymentSchedule43[[#This Row],[PMT NO]]&lt;&gt;"",ScheduledPayment,"")</f>
        <v/>
      </c>
      <c r="F22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2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24" s="32" t="str">
        <f>IF(PaymentSchedule43[[#This Row],[PMT NO]]&lt;&gt;"",PaymentSchedule43[[#This Row],[TOTAL PAYMENT]]-PaymentSchedule43[[#This Row],[INTEREST]],"")</f>
        <v/>
      </c>
      <c r="I224" s="32" t="str">
        <f>IF(PaymentSchedule43[[#This Row],[PMT NO]]&lt;&gt;"",PaymentSchedule43[[#This Row],[BEGINNING BALANCE]]*(InterestRate/PaymentsPerYear),"")</f>
        <v/>
      </c>
      <c r="J22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24" s="32" t="str">
        <f>IF(PaymentSchedule43[[#This Row],[PMT NO]]&lt;&gt;"",SUM(INDEX(PaymentSchedule43[INTEREST],1,1):PaymentSchedule43[[#This Row],[INTEREST]]),"")</f>
        <v/>
      </c>
    </row>
    <row r="225" spans="2:11" x14ac:dyDescent="0.3">
      <c r="B225" s="30" t="str">
        <f>IF(LoanIsGood,IF(ROW()-ROW(PaymentSchedule43[[#Headers],[PMT NO]])&gt;ScheduledNumberOfPayments,"",ROW()-ROW(PaymentSchedule43[[#Headers],[PMT NO]])),"")</f>
        <v/>
      </c>
      <c r="C225" s="31" t="str">
        <f>IF(PaymentSchedule43[[#This Row],[PMT NO]]&lt;&gt;"",EOMONTH(LoanStartDate,ROW(PaymentSchedule43[[#This Row],[PMT NO]])-ROW(PaymentSchedule43[[#Headers],[PMT NO]])-2)+DAY(LoanStartDate),"")</f>
        <v/>
      </c>
      <c r="D22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25" s="32" t="str">
        <f>IF(PaymentSchedule43[[#This Row],[PMT NO]]&lt;&gt;"",ScheduledPayment,"")</f>
        <v/>
      </c>
      <c r="F22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2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25" s="32" t="str">
        <f>IF(PaymentSchedule43[[#This Row],[PMT NO]]&lt;&gt;"",PaymentSchedule43[[#This Row],[TOTAL PAYMENT]]-PaymentSchedule43[[#This Row],[INTEREST]],"")</f>
        <v/>
      </c>
      <c r="I225" s="32" t="str">
        <f>IF(PaymentSchedule43[[#This Row],[PMT NO]]&lt;&gt;"",PaymentSchedule43[[#This Row],[BEGINNING BALANCE]]*(InterestRate/PaymentsPerYear),"")</f>
        <v/>
      </c>
      <c r="J22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25" s="32" t="str">
        <f>IF(PaymentSchedule43[[#This Row],[PMT NO]]&lt;&gt;"",SUM(INDEX(PaymentSchedule43[INTEREST],1,1):PaymentSchedule43[[#This Row],[INTEREST]]),"")</f>
        <v/>
      </c>
    </row>
    <row r="226" spans="2:11" x14ac:dyDescent="0.3">
      <c r="B226" s="30" t="str">
        <f>IF(LoanIsGood,IF(ROW()-ROW(PaymentSchedule43[[#Headers],[PMT NO]])&gt;ScheduledNumberOfPayments,"",ROW()-ROW(PaymentSchedule43[[#Headers],[PMT NO]])),"")</f>
        <v/>
      </c>
      <c r="C226" s="31" t="str">
        <f>IF(PaymentSchedule43[[#This Row],[PMT NO]]&lt;&gt;"",EOMONTH(LoanStartDate,ROW(PaymentSchedule43[[#This Row],[PMT NO]])-ROW(PaymentSchedule43[[#Headers],[PMT NO]])-2)+DAY(LoanStartDate),"")</f>
        <v/>
      </c>
      <c r="D22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26" s="32" t="str">
        <f>IF(PaymentSchedule43[[#This Row],[PMT NO]]&lt;&gt;"",ScheduledPayment,"")</f>
        <v/>
      </c>
      <c r="F22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2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26" s="32" t="str">
        <f>IF(PaymentSchedule43[[#This Row],[PMT NO]]&lt;&gt;"",PaymentSchedule43[[#This Row],[TOTAL PAYMENT]]-PaymentSchedule43[[#This Row],[INTEREST]],"")</f>
        <v/>
      </c>
      <c r="I226" s="32" t="str">
        <f>IF(PaymentSchedule43[[#This Row],[PMT NO]]&lt;&gt;"",PaymentSchedule43[[#This Row],[BEGINNING BALANCE]]*(InterestRate/PaymentsPerYear),"")</f>
        <v/>
      </c>
      <c r="J22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26" s="32" t="str">
        <f>IF(PaymentSchedule43[[#This Row],[PMT NO]]&lt;&gt;"",SUM(INDEX(PaymentSchedule43[INTEREST],1,1):PaymentSchedule43[[#This Row],[INTEREST]]),"")</f>
        <v/>
      </c>
    </row>
    <row r="227" spans="2:11" x14ac:dyDescent="0.3">
      <c r="B227" s="30" t="str">
        <f>IF(LoanIsGood,IF(ROW()-ROW(PaymentSchedule43[[#Headers],[PMT NO]])&gt;ScheduledNumberOfPayments,"",ROW()-ROW(PaymentSchedule43[[#Headers],[PMT NO]])),"")</f>
        <v/>
      </c>
      <c r="C227" s="31" t="str">
        <f>IF(PaymentSchedule43[[#This Row],[PMT NO]]&lt;&gt;"",EOMONTH(LoanStartDate,ROW(PaymentSchedule43[[#This Row],[PMT NO]])-ROW(PaymentSchedule43[[#Headers],[PMT NO]])-2)+DAY(LoanStartDate),"")</f>
        <v/>
      </c>
      <c r="D22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27" s="32" t="str">
        <f>IF(PaymentSchedule43[[#This Row],[PMT NO]]&lt;&gt;"",ScheduledPayment,"")</f>
        <v/>
      </c>
      <c r="F22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2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27" s="32" t="str">
        <f>IF(PaymentSchedule43[[#This Row],[PMT NO]]&lt;&gt;"",PaymentSchedule43[[#This Row],[TOTAL PAYMENT]]-PaymentSchedule43[[#This Row],[INTEREST]],"")</f>
        <v/>
      </c>
      <c r="I227" s="32" t="str">
        <f>IF(PaymentSchedule43[[#This Row],[PMT NO]]&lt;&gt;"",PaymentSchedule43[[#This Row],[BEGINNING BALANCE]]*(InterestRate/PaymentsPerYear),"")</f>
        <v/>
      </c>
      <c r="J22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27" s="32" t="str">
        <f>IF(PaymentSchedule43[[#This Row],[PMT NO]]&lt;&gt;"",SUM(INDEX(PaymentSchedule43[INTEREST],1,1):PaymentSchedule43[[#This Row],[INTEREST]]),"")</f>
        <v/>
      </c>
    </row>
    <row r="228" spans="2:11" x14ac:dyDescent="0.3">
      <c r="B228" s="30" t="str">
        <f>IF(LoanIsGood,IF(ROW()-ROW(PaymentSchedule43[[#Headers],[PMT NO]])&gt;ScheduledNumberOfPayments,"",ROW()-ROW(PaymentSchedule43[[#Headers],[PMT NO]])),"")</f>
        <v/>
      </c>
      <c r="C228" s="31" t="str">
        <f>IF(PaymentSchedule43[[#This Row],[PMT NO]]&lt;&gt;"",EOMONTH(LoanStartDate,ROW(PaymentSchedule43[[#This Row],[PMT NO]])-ROW(PaymentSchedule43[[#Headers],[PMT NO]])-2)+DAY(LoanStartDate),"")</f>
        <v/>
      </c>
      <c r="D22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28" s="32" t="str">
        <f>IF(PaymentSchedule43[[#This Row],[PMT NO]]&lt;&gt;"",ScheduledPayment,"")</f>
        <v/>
      </c>
      <c r="F22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2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28" s="32" t="str">
        <f>IF(PaymentSchedule43[[#This Row],[PMT NO]]&lt;&gt;"",PaymentSchedule43[[#This Row],[TOTAL PAYMENT]]-PaymentSchedule43[[#This Row],[INTEREST]],"")</f>
        <v/>
      </c>
      <c r="I228" s="32" t="str">
        <f>IF(PaymentSchedule43[[#This Row],[PMT NO]]&lt;&gt;"",PaymentSchedule43[[#This Row],[BEGINNING BALANCE]]*(InterestRate/PaymentsPerYear),"")</f>
        <v/>
      </c>
      <c r="J22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28" s="32" t="str">
        <f>IF(PaymentSchedule43[[#This Row],[PMT NO]]&lt;&gt;"",SUM(INDEX(PaymentSchedule43[INTEREST],1,1):PaymentSchedule43[[#This Row],[INTEREST]]),"")</f>
        <v/>
      </c>
    </row>
    <row r="229" spans="2:11" x14ac:dyDescent="0.3">
      <c r="B229" s="30" t="str">
        <f>IF(LoanIsGood,IF(ROW()-ROW(PaymentSchedule43[[#Headers],[PMT NO]])&gt;ScheduledNumberOfPayments,"",ROW()-ROW(PaymentSchedule43[[#Headers],[PMT NO]])),"")</f>
        <v/>
      </c>
      <c r="C229" s="31" t="str">
        <f>IF(PaymentSchedule43[[#This Row],[PMT NO]]&lt;&gt;"",EOMONTH(LoanStartDate,ROW(PaymentSchedule43[[#This Row],[PMT NO]])-ROW(PaymentSchedule43[[#Headers],[PMT NO]])-2)+DAY(LoanStartDate),"")</f>
        <v/>
      </c>
      <c r="D22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29" s="32" t="str">
        <f>IF(PaymentSchedule43[[#This Row],[PMT NO]]&lt;&gt;"",ScheduledPayment,"")</f>
        <v/>
      </c>
      <c r="F22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2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29" s="32" t="str">
        <f>IF(PaymentSchedule43[[#This Row],[PMT NO]]&lt;&gt;"",PaymentSchedule43[[#This Row],[TOTAL PAYMENT]]-PaymentSchedule43[[#This Row],[INTEREST]],"")</f>
        <v/>
      </c>
      <c r="I229" s="32" t="str">
        <f>IF(PaymentSchedule43[[#This Row],[PMT NO]]&lt;&gt;"",PaymentSchedule43[[#This Row],[BEGINNING BALANCE]]*(InterestRate/PaymentsPerYear),"")</f>
        <v/>
      </c>
      <c r="J22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29" s="32" t="str">
        <f>IF(PaymentSchedule43[[#This Row],[PMT NO]]&lt;&gt;"",SUM(INDEX(PaymentSchedule43[INTEREST],1,1):PaymentSchedule43[[#This Row],[INTEREST]]),"")</f>
        <v/>
      </c>
    </row>
    <row r="230" spans="2:11" x14ac:dyDescent="0.3">
      <c r="B230" s="30" t="str">
        <f>IF(LoanIsGood,IF(ROW()-ROW(PaymentSchedule43[[#Headers],[PMT NO]])&gt;ScheduledNumberOfPayments,"",ROW()-ROW(PaymentSchedule43[[#Headers],[PMT NO]])),"")</f>
        <v/>
      </c>
      <c r="C230" s="31" t="str">
        <f>IF(PaymentSchedule43[[#This Row],[PMT NO]]&lt;&gt;"",EOMONTH(LoanStartDate,ROW(PaymentSchedule43[[#This Row],[PMT NO]])-ROW(PaymentSchedule43[[#Headers],[PMT NO]])-2)+DAY(LoanStartDate),"")</f>
        <v/>
      </c>
      <c r="D23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30" s="32" t="str">
        <f>IF(PaymentSchedule43[[#This Row],[PMT NO]]&lt;&gt;"",ScheduledPayment,"")</f>
        <v/>
      </c>
      <c r="F23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3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30" s="32" t="str">
        <f>IF(PaymentSchedule43[[#This Row],[PMT NO]]&lt;&gt;"",PaymentSchedule43[[#This Row],[TOTAL PAYMENT]]-PaymentSchedule43[[#This Row],[INTEREST]],"")</f>
        <v/>
      </c>
      <c r="I230" s="32" t="str">
        <f>IF(PaymentSchedule43[[#This Row],[PMT NO]]&lt;&gt;"",PaymentSchedule43[[#This Row],[BEGINNING BALANCE]]*(InterestRate/PaymentsPerYear),"")</f>
        <v/>
      </c>
      <c r="J23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30" s="32" t="str">
        <f>IF(PaymentSchedule43[[#This Row],[PMT NO]]&lt;&gt;"",SUM(INDEX(PaymentSchedule43[INTEREST],1,1):PaymentSchedule43[[#This Row],[INTEREST]]),"")</f>
        <v/>
      </c>
    </row>
    <row r="231" spans="2:11" x14ac:dyDescent="0.3">
      <c r="B231" s="30" t="str">
        <f>IF(LoanIsGood,IF(ROW()-ROW(PaymentSchedule43[[#Headers],[PMT NO]])&gt;ScheduledNumberOfPayments,"",ROW()-ROW(PaymentSchedule43[[#Headers],[PMT NO]])),"")</f>
        <v/>
      </c>
      <c r="C231" s="31" t="str">
        <f>IF(PaymentSchedule43[[#This Row],[PMT NO]]&lt;&gt;"",EOMONTH(LoanStartDate,ROW(PaymentSchedule43[[#This Row],[PMT NO]])-ROW(PaymentSchedule43[[#Headers],[PMT NO]])-2)+DAY(LoanStartDate),"")</f>
        <v/>
      </c>
      <c r="D23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31" s="32" t="str">
        <f>IF(PaymentSchedule43[[#This Row],[PMT NO]]&lt;&gt;"",ScheduledPayment,"")</f>
        <v/>
      </c>
      <c r="F23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3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31" s="32" t="str">
        <f>IF(PaymentSchedule43[[#This Row],[PMT NO]]&lt;&gt;"",PaymentSchedule43[[#This Row],[TOTAL PAYMENT]]-PaymentSchedule43[[#This Row],[INTEREST]],"")</f>
        <v/>
      </c>
      <c r="I231" s="32" t="str">
        <f>IF(PaymentSchedule43[[#This Row],[PMT NO]]&lt;&gt;"",PaymentSchedule43[[#This Row],[BEGINNING BALANCE]]*(InterestRate/PaymentsPerYear),"")</f>
        <v/>
      </c>
      <c r="J23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31" s="32" t="str">
        <f>IF(PaymentSchedule43[[#This Row],[PMT NO]]&lt;&gt;"",SUM(INDEX(PaymentSchedule43[INTEREST],1,1):PaymentSchedule43[[#This Row],[INTEREST]]),"")</f>
        <v/>
      </c>
    </row>
    <row r="232" spans="2:11" x14ac:dyDescent="0.3">
      <c r="B232" s="30" t="str">
        <f>IF(LoanIsGood,IF(ROW()-ROW(PaymentSchedule43[[#Headers],[PMT NO]])&gt;ScheduledNumberOfPayments,"",ROW()-ROW(PaymentSchedule43[[#Headers],[PMT NO]])),"")</f>
        <v/>
      </c>
      <c r="C232" s="31" t="str">
        <f>IF(PaymentSchedule43[[#This Row],[PMT NO]]&lt;&gt;"",EOMONTH(LoanStartDate,ROW(PaymentSchedule43[[#This Row],[PMT NO]])-ROW(PaymentSchedule43[[#Headers],[PMT NO]])-2)+DAY(LoanStartDate),"")</f>
        <v/>
      </c>
      <c r="D23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32" s="32" t="str">
        <f>IF(PaymentSchedule43[[#This Row],[PMT NO]]&lt;&gt;"",ScheduledPayment,"")</f>
        <v/>
      </c>
      <c r="F23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3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32" s="32" t="str">
        <f>IF(PaymentSchedule43[[#This Row],[PMT NO]]&lt;&gt;"",PaymentSchedule43[[#This Row],[TOTAL PAYMENT]]-PaymentSchedule43[[#This Row],[INTEREST]],"")</f>
        <v/>
      </c>
      <c r="I232" s="32" t="str">
        <f>IF(PaymentSchedule43[[#This Row],[PMT NO]]&lt;&gt;"",PaymentSchedule43[[#This Row],[BEGINNING BALANCE]]*(InterestRate/PaymentsPerYear),"")</f>
        <v/>
      </c>
      <c r="J23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32" s="32" t="str">
        <f>IF(PaymentSchedule43[[#This Row],[PMT NO]]&lt;&gt;"",SUM(INDEX(PaymentSchedule43[INTEREST],1,1):PaymentSchedule43[[#This Row],[INTEREST]]),"")</f>
        <v/>
      </c>
    </row>
    <row r="233" spans="2:11" x14ac:dyDescent="0.3">
      <c r="B233" s="30" t="str">
        <f>IF(LoanIsGood,IF(ROW()-ROW(PaymentSchedule43[[#Headers],[PMT NO]])&gt;ScheduledNumberOfPayments,"",ROW()-ROW(PaymentSchedule43[[#Headers],[PMT NO]])),"")</f>
        <v/>
      </c>
      <c r="C233" s="31" t="str">
        <f>IF(PaymentSchedule43[[#This Row],[PMT NO]]&lt;&gt;"",EOMONTH(LoanStartDate,ROW(PaymentSchedule43[[#This Row],[PMT NO]])-ROW(PaymentSchedule43[[#Headers],[PMT NO]])-2)+DAY(LoanStartDate),"")</f>
        <v/>
      </c>
      <c r="D23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33" s="32" t="str">
        <f>IF(PaymentSchedule43[[#This Row],[PMT NO]]&lt;&gt;"",ScheduledPayment,"")</f>
        <v/>
      </c>
      <c r="F23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3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33" s="32" t="str">
        <f>IF(PaymentSchedule43[[#This Row],[PMT NO]]&lt;&gt;"",PaymentSchedule43[[#This Row],[TOTAL PAYMENT]]-PaymentSchedule43[[#This Row],[INTEREST]],"")</f>
        <v/>
      </c>
      <c r="I233" s="32" t="str">
        <f>IF(PaymentSchedule43[[#This Row],[PMT NO]]&lt;&gt;"",PaymentSchedule43[[#This Row],[BEGINNING BALANCE]]*(InterestRate/PaymentsPerYear),"")</f>
        <v/>
      </c>
      <c r="J23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33" s="32" t="str">
        <f>IF(PaymentSchedule43[[#This Row],[PMT NO]]&lt;&gt;"",SUM(INDEX(PaymentSchedule43[INTEREST],1,1):PaymentSchedule43[[#This Row],[INTEREST]]),"")</f>
        <v/>
      </c>
    </row>
    <row r="234" spans="2:11" x14ac:dyDescent="0.3">
      <c r="B234" s="30" t="str">
        <f>IF(LoanIsGood,IF(ROW()-ROW(PaymentSchedule43[[#Headers],[PMT NO]])&gt;ScheduledNumberOfPayments,"",ROW()-ROW(PaymentSchedule43[[#Headers],[PMT NO]])),"")</f>
        <v/>
      </c>
      <c r="C234" s="31" t="str">
        <f>IF(PaymentSchedule43[[#This Row],[PMT NO]]&lt;&gt;"",EOMONTH(LoanStartDate,ROW(PaymentSchedule43[[#This Row],[PMT NO]])-ROW(PaymentSchedule43[[#Headers],[PMT NO]])-2)+DAY(LoanStartDate),"")</f>
        <v/>
      </c>
      <c r="D23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34" s="32" t="str">
        <f>IF(PaymentSchedule43[[#This Row],[PMT NO]]&lt;&gt;"",ScheduledPayment,"")</f>
        <v/>
      </c>
      <c r="F23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3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34" s="32" t="str">
        <f>IF(PaymentSchedule43[[#This Row],[PMT NO]]&lt;&gt;"",PaymentSchedule43[[#This Row],[TOTAL PAYMENT]]-PaymentSchedule43[[#This Row],[INTEREST]],"")</f>
        <v/>
      </c>
      <c r="I234" s="32" t="str">
        <f>IF(PaymentSchedule43[[#This Row],[PMT NO]]&lt;&gt;"",PaymentSchedule43[[#This Row],[BEGINNING BALANCE]]*(InterestRate/PaymentsPerYear),"")</f>
        <v/>
      </c>
      <c r="J23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34" s="32" t="str">
        <f>IF(PaymentSchedule43[[#This Row],[PMT NO]]&lt;&gt;"",SUM(INDEX(PaymentSchedule43[INTEREST],1,1):PaymentSchedule43[[#This Row],[INTEREST]]),"")</f>
        <v/>
      </c>
    </row>
    <row r="235" spans="2:11" x14ac:dyDescent="0.3">
      <c r="B235" s="30" t="str">
        <f>IF(LoanIsGood,IF(ROW()-ROW(PaymentSchedule43[[#Headers],[PMT NO]])&gt;ScheduledNumberOfPayments,"",ROW()-ROW(PaymentSchedule43[[#Headers],[PMT NO]])),"")</f>
        <v/>
      </c>
      <c r="C235" s="31" t="str">
        <f>IF(PaymentSchedule43[[#This Row],[PMT NO]]&lt;&gt;"",EOMONTH(LoanStartDate,ROW(PaymentSchedule43[[#This Row],[PMT NO]])-ROW(PaymentSchedule43[[#Headers],[PMT NO]])-2)+DAY(LoanStartDate),"")</f>
        <v/>
      </c>
      <c r="D23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35" s="32" t="str">
        <f>IF(PaymentSchedule43[[#This Row],[PMT NO]]&lt;&gt;"",ScheduledPayment,"")</f>
        <v/>
      </c>
      <c r="F23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3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35" s="32" t="str">
        <f>IF(PaymentSchedule43[[#This Row],[PMT NO]]&lt;&gt;"",PaymentSchedule43[[#This Row],[TOTAL PAYMENT]]-PaymentSchedule43[[#This Row],[INTEREST]],"")</f>
        <v/>
      </c>
      <c r="I235" s="32" t="str">
        <f>IF(PaymentSchedule43[[#This Row],[PMT NO]]&lt;&gt;"",PaymentSchedule43[[#This Row],[BEGINNING BALANCE]]*(InterestRate/PaymentsPerYear),"")</f>
        <v/>
      </c>
      <c r="J23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35" s="32" t="str">
        <f>IF(PaymentSchedule43[[#This Row],[PMT NO]]&lt;&gt;"",SUM(INDEX(PaymentSchedule43[INTEREST],1,1):PaymentSchedule43[[#This Row],[INTEREST]]),"")</f>
        <v/>
      </c>
    </row>
    <row r="236" spans="2:11" x14ac:dyDescent="0.3">
      <c r="B236" s="30" t="str">
        <f>IF(LoanIsGood,IF(ROW()-ROW(PaymentSchedule43[[#Headers],[PMT NO]])&gt;ScheduledNumberOfPayments,"",ROW()-ROW(PaymentSchedule43[[#Headers],[PMT NO]])),"")</f>
        <v/>
      </c>
      <c r="C236" s="31" t="str">
        <f>IF(PaymentSchedule43[[#This Row],[PMT NO]]&lt;&gt;"",EOMONTH(LoanStartDate,ROW(PaymentSchedule43[[#This Row],[PMT NO]])-ROW(PaymentSchedule43[[#Headers],[PMT NO]])-2)+DAY(LoanStartDate),"")</f>
        <v/>
      </c>
      <c r="D23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36" s="32" t="str">
        <f>IF(PaymentSchedule43[[#This Row],[PMT NO]]&lt;&gt;"",ScheduledPayment,"")</f>
        <v/>
      </c>
      <c r="F23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3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36" s="32" t="str">
        <f>IF(PaymentSchedule43[[#This Row],[PMT NO]]&lt;&gt;"",PaymentSchedule43[[#This Row],[TOTAL PAYMENT]]-PaymentSchedule43[[#This Row],[INTEREST]],"")</f>
        <v/>
      </c>
      <c r="I236" s="32" t="str">
        <f>IF(PaymentSchedule43[[#This Row],[PMT NO]]&lt;&gt;"",PaymentSchedule43[[#This Row],[BEGINNING BALANCE]]*(InterestRate/PaymentsPerYear),"")</f>
        <v/>
      </c>
      <c r="J23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36" s="32" t="str">
        <f>IF(PaymentSchedule43[[#This Row],[PMT NO]]&lt;&gt;"",SUM(INDEX(PaymentSchedule43[INTEREST],1,1):PaymentSchedule43[[#This Row],[INTEREST]]),"")</f>
        <v/>
      </c>
    </row>
    <row r="237" spans="2:11" x14ac:dyDescent="0.3">
      <c r="B237" s="30" t="str">
        <f>IF(LoanIsGood,IF(ROW()-ROW(PaymentSchedule43[[#Headers],[PMT NO]])&gt;ScheduledNumberOfPayments,"",ROW()-ROW(PaymentSchedule43[[#Headers],[PMT NO]])),"")</f>
        <v/>
      </c>
      <c r="C237" s="31" t="str">
        <f>IF(PaymentSchedule43[[#This Row],[PMT NO]]&lt;&gt;"",EOMONTH(LoanStartDate,ROW(PaymentSchedule43[[#This Row],[PMT NO]])-ROW(PaymentSchedule43[[#Headers],[PMT NO]])-2)+DAY(LoanStartDate),"")</f>
        <v/>
      </c>
      <c r="D23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37" s="32" t="str">
        <f>IF(PaymentSchedule43[[#This Row],[PMT NO]]&lt;&gt;"",ScheduledPayment,"")</f>
        <v/>
      </c>
      <c r="F23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3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37" s="32" t="str">
        <f>IF(PaymentSchedule43[[#This Row],[PMT NO]]&lt;&gt;"",PaymentSchedule43[[#This Row],[TOTAL PAYMENT]]-PaymentSchedule43[[#This Row],[INTEREST]],"")</f>
        <v/>
      </c>
      <c r="I237" s="32" t="str">
        <f>IF(PaymentSchedule43[[#This Row],[PMT NO]]&lt;&gt;"",PaymentSchedule43[[#This Row],[BEGINNING BALANCE]]*(InterestRate/PaymentsPerYear),"")</f>
        <v/>
      </c>
      <c r="J23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37" s="32" t="str">
        <f>IF(PaymentSchedule43[[#This Row],[PMT NO]]&lt;&gt;"",SUM(INDEX(PaymentSchedule43[INTEREST],1,1):PaymentSchedule43[[#This Row],[INTEREST]]),"")</f>
        <v/>
      </c>
    </row>
    <row r="238" spans="2:11" x14ac:dyDescent="0.3">
      <c r="B238" s="30" t="str">
        <f>IF(LoanIsGood,IF(ROW()-ROW(PaymentSchedule43[[#Headers],[PMT NO]])&gt;ScheduledNumberOfPayments,"",ROW()-ROW(PaymentSchedule43[[#Headers],[PMT NO]])),"")</f>
        <v/>
      </c>
      <c r="C238" s="31" t="str">
        <f>IF(PaymentSchedule43[[#This Row],[PMT NO]]&lt;&gt;"",EOMONTH(LoanStartDate,ROW(PaymentSchedule43[[#This Row],[PMT NO]])-ROW(PaymentSchedule43[[#Headers],[PMT NO]])-2)+DAY(LoanStartDate),"")</f>
        <v/>
      </c>
      <c r="D23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38" s="32" t="str">
        <f>IF(PaymentSchedule43[[#This Row],[PMT NO]]&lt;&gt;"",ScheduledPayment,"")</f>
        <v/>
      </c>
      <c r="F23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3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38" s="32" t="str">
        <f>IF(PaymentSchedule43[[#This Row],[PMT NO]]&lt;&gt;"",PaymentSchedule43[[#This Row],[TOTAL PAYMENT]]-PaymentSchedule43[[#This Row],[INTEREST]],"")</f>
        <v/>
      </c>
      <c r="I238" s="32" t="str">
        <f>IF(PaymentSchedule43[[#This Row],[PMT NO]]&lt;&gt;"",PaymentSchedule43[[#This Row],[BEGINNING BALANCE]]*(InterestRate/PaymentsPerYear),"")</f>
        <v/>
      </c>
      <c r="J23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38" s="32" t="str">
        <f>IF(PaymentSchedule43[[#This Row],[PMT NO]]&lt;&gt;"",SUM(INDEX(PaymentSchedule43[INTEREST],1,1):PaymentSchedule43[[#This Row],[INTEREST]]),"")</f>
        <v/>
      </c>
    </row>
    <row r="239" spans="2:11" x14ac:dyDescent="0.3">
      <c r="B239" s="30" t="str">
        <f>IF(LoanIsGood,IF(ROW()-ROW(PaymentSchedule43[[#Headers],[PMT NO]])&gt;ScheduledNumberOfPayments,"",ROW()-ROW(PaymentSchedule43[[#Headers],[PMT NO]])),"")</f>
        <v/>
      </c>
      <c r="C239" s="31" t="str">
        <f>IF(PaymentSchedule43[[#This Row],[PMT NO]]&lt;&gt;"",EOMONTH(LoanStartDate,ROW(PaymentSchedule43[[#This Row],[PMT NO]])-ROW(PaymentSchedule43[[#Headers],[PMT NO]])-2)+DAY(LoanStartDate),"")</f>
        <v/>
      </c>
      <c r="D23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39" s="32" t="str">
        <f>IF(PaymentSchedule43[[#This Row],[PMT NO]]&lt;&gt;"",ScheduledPayment,"")</f>
        <v/>
      </c>
      <c r="F23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3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39" s="32" t="str">
        <f>IF(PaymentSchedule43[[#This Row],[PMT NO]]&lt;&gt;"",PaymentSchedule43[[#This Row],[TOTAL PAYMENT]]-PaymentSchedule43[[#This Row],[INTEREST]],"")</f>
        <v/>
      </c>
      <c r="I239" s="32" t="str">
        <f>IF(PaymentSchedule43[[#This Row],[PMT NO]]&lt;&gt;"",PaymentSchedule43[[#This Row],[BEGINNING BALANCE]]*(InterestRate/PaymentsPerYear),"")</f>
        <v/>
      </c>
      <c r="J23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39" s="32" t="str">
        <f>IF(PaymentSchedule43[[#This Row],[PMT NO]]&lt;&gt;"",SUM(INDEX(PaymentSchedule43[INTEREST],1,1):PaymentSchedule43[[#This Row],[INTEREST]]),"")</f>
        <v/>
      </c>
    </row>
    <row r="240" spans="2:11" x14ac:dyDescent="0.3">
      <c r="B240" s="30" t="str">
        <f>IF(LoanIsGood,IF(ROW()-ROW(PaymentSchedule43[[#Headers],[PMT NO]])&gt;ScheduledNumberOfPayments,"",ROW()-ROW(PaymentSchedule43[[#Headers],[PMT NO]])),"")</f>
        <v/>
      </c>
      <c r="C240" s="31" t="str">
        <f>IF(PaymentSchedule43[[#This Row],[PMT NO]]&lt;&gt;"",EOMONTH(LoanStartDate,ROW(PaymentSchedule43[[#This Row],[PMT NO]])-ROW(PaymentSchedule43[[#Headers],[PMT NO]])-2)+DAY(LoanStartDate),"")</f>
        <v/>
      </c>
      <c r="D24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40" s="32" t="str">
        <f>IF(PaymentSchedule43[[#This Row],[PMT NO]]&lt;&gt;"",ScheduledPayment,"")</f>
        <v/>
      </c>
      <c r="F24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4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40" s="32" t="str">
        <f>IF(PaymentSchedule43[[#This Row],[PMT NO]]&lt;&gt;"",PaymentSchedule43[[#This Row],[TOTAL PAYMENT]]-PaymentSchedule43[[#This Row],[INTEREST]],"")</f>
        <v/>
      </c>
      <c r="I240" s="32" t="str">
        <f>IF(PaymentSchedule43[[#This Row],[PMT NO]]&lt;&gt;"",PaymentSchedule43[[#This Row],[BEGINNING BALANCE]]*(InterestRate/PaymentsPerYear),"")</f>
        <v/>
      </c>
      <c r="J24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40" s="32" t="str">
        <f>IF(PaymentSchedule43[[#This Row],[PMT NO]]&lt;&gt;"",SUM(INDEX(PaymentSchedule43[INTEREST],1,1):PaymentSchedule43[[#This Row],[INTEREST]]),"")</f>
        <v/>
      </c>
    </row>
    <row r="241" spans="2:11" x14ac:dyDescent="0.3">
      <c r="B241" s="30" t="str">
        <f>IF(LoanIsGood,IF(ROW()-ROW(PaymentSchedule43[[#Headers],[PMT NO]])&gt;ScheduledNumberOfPayments,"",ROW()-ROW(PaymentSchedule43[[#Headers],[PMT NO]])),"")</f>
        <v/>
      </c>
      <c r="C241" s="31" t="str">
        <f>IF(PaymentSchedule43[[#This Row],[PMT NO]]&lt;&gt;"",EOMONTH(LoanStartDate,ROW(PaymentSchedule43[[#This Row],[PMT NO]])-ROW(PaymentSchedule43[[#Headers],[PMT NO]])-2)+DAY(LoanStartDate),"")</f>
        <v/>
      </c>
      <c r="D24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41" s="32" t="str">
        <f>IF(PaymentSchedule43[[#This Row],[PMT NO]]&lt;&gt;"",ScheduledPayment,"")</f>
        <v/>
      </c>
      <c r="F24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4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41" s="32" t="str">
        <f>IF(PaymentSchedule43[[#This Row],[PMT NO]]&lt;&gt;"",PaymentSchedule43[[#This Row],[TOTAL PAYMENT]]-PaymentSchedule43[[#This Row],[INTEREST]],"")</f>
        <v/>
      </c>
      <c r="I241" s="32" t="str">
        <f>IF(PaymentSchedule43[[#This Row],[PMT NO]]&lt;&gt;"",PaymentSchedule43[[#This Row],[BEGINNING BALANCE]]*(InterestRate/PaymentsPerYear),"")</f>
        <v/>
      </c>
      <c r="J24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41" s="32" t="str">
        <f>IF(PaymentSchedule43[[#This Row],[PMT NO]]&lt;&gt;"",SUM(INDEX(PaymentSchedule43[INTEREST],1,1):PaymentSchedule43[[#This Row],[INTEREST]]),"")</f>
        <v/>
      </c>
    </row>
    <row r="242" spans="2:11" x14ac:dyDescent="0.3">
      <c r="B242" s="30" t="str">
        <f>IF(LoanIsGood,IF(ROW()-ROW(PaymentSchedule43[[#Headers],[PMT NO]])&gt;ScheduledNumberOfPayments,"",ROW()-ROW(PaymentSchedule43[[#Headers],[PMT NO]])),"")</f>
        <v/>
      </c>
      <c r="C242" s="31" t="str">
        <f>IF(PaymentSchedule43[[#This Row],[PMT NO]]&lt;&gt;"",EOMONTH(LoanStartDate,ROW(PaymentSchedule43[[#This Row],[PMT NO]])-ROW(PaymentSchedule43[[#Headers],[PMT NO]])-2)+DAY(LoanStartDate),"")</f>
        <v/>
      </c>
      <c r="D24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42" s="32" t="str">
        <f>IF(PaymentSchedule43[[#This Row],[PMT NO]]&lt;&gt;"",ScheduledPayment,"")</f>
        <v/>
      </c>
      <c r="F24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4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42" s="32" t="str">
        <f>IF(PaymentSchedule43[[#This Row],[PMT NO]]&lt;&gt;"",PaymentSchedule43[[#This Row],[TOTAL PAYMENT]]-PaymentSchedule43[[#This Row],[INTEREST]],"")</f>
        <v/>
      </c>
      <c r="I242" s="32" t="str">
        <f>IF(PaymentSchedule43[[#This Row],[PMT NO]]&lt;&gt;"",PaymentSchedule43[[#This Row],[BEGINNING BALANCE]]*(InterestRate/PaymentsPerYear),"")</f>
        <v/>
      </c>
      <c r="J24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42" s="32" t="str">
        <f>IF(PaymentSchedule43[[#This Row],[PMT NO]]&lt;&gt;"",SUM(INDEX(PaymentSchedule43[INTEREST],1,1):PaymentSchedule43[[#This Row],[INTEREST]]),"")</f>
        <v/>
      </c>
    </row>
    <row r="243" spans="2:11" x14ac:dyDescent="0.3">
      <c r="B243" s="30" t="str">
        <f>IF(LoanIsGood,IF(ROW()-ROW(PaymentSchedule43[[#Headers],[PMT NO]])&gt;ScheduledNumberOfPayments,"",ROW()-ROW(PaymentSchedule43[[#Headers],[PMT NO]])),"")</f>
        <v/>
      </c>
      <c r="C243" s="31" t="str">
        <f>IF(PaymentSchedule43[[#This Row],[PMT NO]]&lt;&gt;"",EOMONTH(LoanStartDate,ROW(PaymentSchedule43[[#This Row],[PMT NO]])-ROW(PaymentSchedule43[[#Headers],[PMT NO]])-2)+DAY(LoanStartDate),"")</f>
        <v/>
      </c>
      <c r="D24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43" s="32" t="str">
        <f>IF(PaymentSchedule43[[#This Row],[PMT NO]]&lt;&gt;"",ScheduledPayment,"")</f>
        <v/>
      </c>
      <c r="F24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4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43" s="32" t="str">
        <f>IF(PaymentSchedule43[[#This Row],[PMT NO]]&lt;&gt;"",PaymentSchedule43[[#This Row],[TOTAL PAYMENT]]-PaymentSchedule43[[#This Row],[INTEREST]],"")</f>
        <v/>
      </c>
      <c r="I243" s="32" t="str">
        <f>IF(PaymentSchedule43[[#This Row],[PMT NO]]&lt;&gt;"",PaymentSchedule43[[#This Row],[BEGINNING BALANCE]]*(InterestRate/PaymentsPerYear),"")</f>
        <v/>
      </c>
      <c r="J24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43" s="32" t="str">
        <f>IF(PaymentSchedule43[[#This Row],[PMT NO]]&lt;&gt;"",SUM(INDEX(PaymentSchedule43[INTEREST],1,1):PaymentSchedule43[[#This Row],[INTEREST]]),"")</f>
        <v/>
      </c>
    </row>
    <row r="244" spans="2:11" x14ac:dyDescent="0.3">
      <c r="B244" s="30" t="str">
        <f>IF(LoanIsGood,IF(ROW()-ROW(PaymentSchedule43[[#Headers],[PMT NO]])&gt;ScheduledNumberOfPayments,"",ROW()-ROW(PaymentSchedule43[[#Headers],[PMT NO]])),"")</f>
        <v/>
      </c>
      <c r="C244" s="31" t="str">
        <f>IF(PaymentSchedule43[[#This Row],[PMT NO]]&lt;&gt;"",EOMONTH(LoanStartDate,ROW(PaymentSchedule43[[#This Row],[PMT NO]])-ROW(PaymentSchedule43[[#Headers],[PMT NO]])-2)+DAY(LoanStartDate),"")</f>
        <v/>
      </c>
      <c r="D24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44" s="32" t="str">
        <f>IF(PaymentSchedule43[[#This Row],[PMT NO]]&lt;&gt;"",ScheduledPayment,"")</f>
        <v/>
      </c>
      <c r="F24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4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44" s="32" t="str">
        <f>IF(PaymentSchedule43[[#This Row],[PMT NO]]&lt;&gt;"",PaymentSchedule43[[#This Row],[TOTAL PAYMENT]]-PaymentSchedule43[[#This Row],[INTEREST]],"")</f>
        <v/>
      </c>
      <c r="I244" s="32" t="str">
        <f>IF(PaymentSchedule43[[#This Row],[PMT NO]]&lt;&gt;"",PaymentSchedule43[[#This Row],[BEGINNING BALANCE]]*(InterestRate/PaymentsPerYear),"")</f>
        <v/>
      </c>
      <c r="J24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44" s="32" t="str">
        <f>IF(PaymentSchedule43[[#This Row],[PMT NO]]&lt;&gt;"",SUM(INDEX(PaymentSchedule43[INTEREST],1,1):PaymentSchedule43[[#This Row],[INTEREST]]),"")</f>
        <v/>
      </c>
    </row>
    <row r="245" spans="2:11" x14ac:dyDescent="0.3">
      <c r="B245" s="30" t="str">
        <f>IF(LoanIsGood,IF(ROW()-ROW(PaymentSchedule43[[#Headers],[PMT NO]])&gt;ScheduledNumberOfPayments,"",ROW()-ROW(PaymentSchedule43[[#Headers],[PMT NO]])),"")</f>
        <v/>
      </c>
      <c r="C245" s="31" t="str">
        <f>IF(PaymentSchedule43[[#This Row],[PMT NO]]&lt;&gt;"",EOMONTH(LoanStartDate,ROW(PaymentSchedule43[[#This Row],[PMT NO]])-ROW(PaymentSchedule43[[#Headers],[PMT NO]])-2)+DAY(LoanStartDate),"")</f>
        <v/>
      </c>
      <c r="D24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45" s="32" t="str">
        <f>IF(PaymentSchedule43[[#This Row],[PMT NO]]&lt;&gt;"",ScheduledPayment,"")</f>
        <v/>
      </c>
      <c r="F24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4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45" s="32" t="str">
        <f>IF(PaymentSchedule43[[#This Row],[PMT NO]]&lt;&gt;"",PaymentSchedule43[[#This Row],[TOTAL PAYMENT]]-PaymentSchedule43[[#This Row],[INTEREST]],"")</f>
        <v/>
      </c>
      <c r="I245" s="32" t="str">
        <f>IF(PaymentSchedule43[[#This Row],[PMT NO]]&lt;&gt;"",PaymentSchedule43[[#This Row],[BEGINNING BALANCE]]*(InterestRate/PaymentsPerYear),"")</f>
        <v/>
      </c>
      <c r="J24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45" s="32" t="str">
        <f>IF(PaymentSchedule43[[#This Row],[PMT NO]]&lt;&gt;"",SUM(INDEX(PaymentSchedule43[INTEREST],1,1):PaymentSchedule43[[#This Row],[INTEREST]]),"")</f>
        <v/>
      </c>
    </row>
    <row r="246" spans="2:11" x14ac:dyDescent="0.3">
      <c r="B246" s="30" t="str">
        <f>IF(LoanIsGood,IF(ROW()-ROW(PaymentSchedule43[[#Headers],[PMT NO]])&gt;ScheduledNumberOfPayments,"",ROW()-ROW(PaymentSchedule43[[#Headers],[PMT NO]])),"")</f>
        <v/>
      </c>
      <c r="C246" s="31" t="str">
        <f>IF(PaymentSchedule43[[#This Row],[PMT NO]]&lt;&gt;"",EOMONTH(LoanStartDate,ROW(PaymentSchedule43[[#This Row],[PMT NO]])-ROW(PaymentSchedule43[[#Headers],[PMT NO]])-2)+DAY(LoanStartDate),"")</f>
        <v/>
      </c>
      <c r="D24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46" s="32" t="str">
        <f>IF(PaymentSchedule43[[#This Row],[PMT NO]]&lt;&gt;"",ScheduledPayment,"")</f>
        <v/>
      </c>
      <c r="F24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4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46" s="32" t="str">
        <f>IF(PaymentSchedule43[[#This Row],[PMT NO]]&lt;&gt;"",PaymentSchedule43[[#This Row],[TOTAL PAYMENT]]-PaymentSchedule43[[#This Row],[INTEREST]],"")</f>
        <v/>
      </c>
      <c r="I246" s="32" t="str">
        <f>IF(PaymentSchedule43[[#This Row],[PMT NO]]&lt;&gt;"",PaymentSchedule43[[#This Row],[BEGINNING BALANCE]]*(InterestRate/PaymentsPerYear),"")</f>
        <v/>
      </c>
      <c r="J24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46" s="32" t="str">
        <f>IF(PaymentSchedule43[[#This Row],[PMT NO]]&lt;&gt;"",SUM(INDEX(PaymentSchedule43[INTEREST],1,1):PaymentSchedule43[[#This Row],[INTEREST]]),"")</f>
        <v/>
      </c>
    </row>
    <row r="247" spans="2:11" x14ac:dyDescent="0.3">
      <c r="B247" s="30" t="str">
        <f>IF(LoanIsGood,IF(ROW()-ROW(PaymentSchedule43[[#Headers],[PMT NO]])&gt;ScheduledNumberOfPayments,"",ROW()-ROW(PaymentSchedule43[[#Headers],[PMT NO]])),"")</f>
        <v/>
      </c>
      <c r="C247" s="31" t="str">
        <f>IF(PaymentSchedule43[[#This Row],[PMT NO]]&lt;&gt;"",EOMONTH(LoanStartDate,ROW(PaymentSchedule43[[#This Row],[PMT NO]])-ROW(PaymentSchedule43[[#Headers],[PMT NO]])-2)+DAY(LoanStartDate),"")</f>
        <v/>
      </c>
      <c r="D24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47" s="32" t="str">
        <f>IF(PaymentSchedule43[[#This Row],[PMT NO]]&lt;&gt;"",ScheduledPayment,"")</f>
        <v/>
      </c>
      <c r="F24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4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47" s="32" t="str">
        <f>IF(PaymentSchedule43[[#This Row],[PMT NO]]&lt;&gt;"",PaymentSchedule43[[#This Row],[TOTAL PAYMENT]]-PaymentSchedule43[[#This Row],[INTEREST]],"")</f>
        <v/>
      </c>
      <c r="I247" s="32" t="str">
        <f>IF(PaymentSchedule43[[#This Row],[PMT NO]]&lt;&gt;"",PaymentSchedule43[[#This Row],[BEGINNING BALANCE]]*(InterestRate/PaymentsPerYear),"")</f>
        <v/>
      </c>
      <c r="J24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47" s="32" t="str">
        <f>IF(PaymentSchedule43[[#This Row],[PMT NO]]&lt;&gt;"",SUM(INDEX(PaymentSchedule43[INTEREST],1,1):PaymentSchedule43[[#This Row],[INTEREST]]),"")</f>
        <v/>
      </c>
    </row>
    <row r="248" spans="2:11" x14ac:dyDescent="0.3">
      <c r="B248" s="30" t="str">
        <f>IF(LoanIsGood,IF(ROW()-ROW(PaymentSchedule43[[#Headers],[PMT NO]])&gt;ScheduledNumberOfPayments,"",ROW()-ROW(PaymentSchedule43[[#Headers],[PMT NO]])),"")</f>
        <v/>
      </c>
      <c r="C248" s="31" t="str">
        <f>IF(PaymentSchedule43[[#This Row],[PMT NO]]&lt;&gt;"",EOMONTH(LoanStartDate,ROW(PaymentSchedule43[[#This Row],[PMT NO]])-ROW(PaymentSchedule43[[#Headers],[PMT NO]])-2)+DAY(LoanStartDate),"")</f>
        <v/>
      </c>
      <c r="D24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48" s="32" t="str">
        <f>IF(PaymentSchedule43[[#This Row],[PMT NO]]&lt;&gt;"",ScheduledPayment,"")</f>
        <v/>
      </c>
      <c r="F24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4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48" s="32" t="str">
        <f>IF(PaymentSchedule43[[#This Row],[PMT NO]]&lt;&gt;"",PaymentSchedule43[[#This Row],[TOTAL PAYMENT]]-PaymentSchedule43[[#This Row],[INTEREST]],"")</f>
        <v/>
      </c>
      <c r="I248" s="32" t="str">
        <f>IF(PaymentSchedule43[[#This Row],[PMT NO]]&lt;&gt;"",PaymentSchedule43[[#This Row],[BEGINNING BALANCE]]*(InterestRate/PaymentsPerYear),"")</f>
        <v/>
      </c>
      <c r="J24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48" s="32" t="str">
        <f>IF(PaymentSchedule43[[#This Row],[PMT NO]]&lt;&gt;"",SUM(INDEX(PaymentSchedule43[INTEREST],1,1):PaymentSchedule43[[#This Row],[INTEREST]]),"")</f>
        <v/>
      </c>
    </row>
    <row r="249" spans="2:11" x14ac:dyDescent="0.3">
      <c r="B249" s="30" t="str">
        <f>IF(LoanIsGood,IF(ROW()-ROW(PaymentSchedule43[[#Headers],[PMT NO]])&gt;ScheduledNumberOfPayments,"",ROW()-ROW(PaymentSchedule43[[#Headers],[PMT NO]])),"")</f>
        <v/>
      </c>
      <c r="C249" s="31" t="str">
        <f>IF(PaymentSchedule43[[#This Row],[PMT NO]]&lt;&gt;"",EOMONTH(LoanStartDate,ROW(PaymentSchedule43[[#This Row],[PMT NO]])-ROW(PaymentSchedule43[[#Headers],[PMT NO]])-2)+DAY(LoanStartDate),"")</f>
        <v/>
      </c>
      <c r="D24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49" s="32" t="str">
        <f>IF(PaymentSchedule43[[#This Row],[PMT NO]]&lt;&gt;"",ScheduledPayment,"")</f>
        <v/>
      </c>
      <c r="F24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4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49" s="32" t="str">
        <f>IF(PaymentSchedule43[[#This Row],[PMT NO]]&lt;&gt;"",PaymentSchedule43[[#This Row],[TOTAL PAYMENT]]-PaymentSchedule43[[#This Row],[INTEREST]],"")</f>
        <v/>
      </c>
      <c r="I249" s="32" t="str">
        <f>IF(PaymentSchedule43[[#This Row],[PMT NO]]&lt;&gt;"",PaymentSchedule43[[#This Row],[BEGINNING BALANCE]]*(InterestRate/PaymentsPerYear),"")</f>
        <v/>
      </c>
      <c r="J24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49" s="32" t="str">
        <f>IF(PaymentSchedule43[[#This Row],[PMT NO]]&lt;&gt;"",SUM(INDEX(PaymentSchedule43[INTEREST],1,1):PaymentSchedule43[[#This Row],[INTEREST]]),"")</f>
        <v/>
      </c>
    </row>
    <row r="250" spans="2:11" x14ac:dyDescent="0.3">
      <c r="B250" s="30" t="str">
        <f>IF(LoanIsGood,IF(ROW()-ROW(PaymentSchedule43[[#Headers],[PMT NO]])&gt;ScheduledNumberOfPayments,"",ROW()-ROW(PaymentSchedule43[[#Headers],[PMT NO]])),"")</f>
        <v/>
      </c>
      <c r="C250" s="31" t="str">
        <f>IF(PaymentSchedule43[[#This Row],[PMT NO]]&lt;&gt;"",EOMONTH(LoanStartDate,ROW(PaymentSchedule43[[#This Row],[PMT NO]])-ROW(PaymentSchedule43[[#Headers],[PMT NO]])-2)+DAY(LoanStartDate),"")</f>
        <v/>
      </c>
      <c r="D25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50" s="32" t="str">
        <f>IF(PaymentSchedule43[[#This Row],[PMT NO]]&lt;&gt;"",ScheduledPayment,"")</f>
        <v/>
      </c>
      <c r="F25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5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50" s="32" t="str">
        <f>IF(PaymentSchedule43[[#This Row],[PMT NO]]&lt;&gt;"",PaymentSchedule43[[#This Row],[TOTAL PAYMENT]]-PaymentSchedule43[[#This Row],[INTEREST]],"")</f>
        <v/>
      </c>
      <c r="I250" s="32" t="str">
        <f>IF(PaymentSchedule43[[#This Row],[PMT NO]]&lt;&gt;"",PaymentSchedule43[[#This Row],[BEGINNING BALANCE]]*(InterestRate/PaymentsPerYear),"")</f>
        <v/>
      </c>
      <c r="J25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50" s="32" t="str">
        <f>IF(PaymentSchedule43[[#This Row],[PMT NO]]&lt;&gt;"",SUM(INDEX(PaymentSchedule43[INTEREST],1,1):PaymentSchedule43[[#This Row],[INTEREST]]),"")</f>
        <v/>
      </c>
    </row>
    <row r="251" spans="2:11" x14ac:dyDescent="0.3">
      <c r="B251" s="30" t="str">
        <f>IF(LoanIsGood,IF(ROW()-ROW(PaymentSchedule43[[#Headers],[PMT NO]])&gt;ScheduledNumberOfPayments,"",ROW()-ROW(PaymentSchedule43[[#Headers],[PMT NO]])),"")</f>
        <v/>
      </c>
      <c r="C251" s="31" t="str">
        <f>IF(PaymentSchedule43[[#This Row],[PMT NO]]&lt;&gt;"",EOMONTH(LoanStartDate,ROW(PaymentSchedule43[[#This Row],[PMT NO]])-ROW(PaymentSchedule43[[#Headers],[PMT NO]])-2)+DAY(LoanStartDate),"")</f>
        <v/>
      </c>
      <c r="D25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51" s="32" t="str">
        <f>IF(PaymentSchedule43[[#This Row],[PMT NO]]&lt;&gt;"",ScheduledPayment,"")</f>
        <v/>
      </c>
      <c r="F25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5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51" s="32" t="str">
        <f>IF(PaymentSchedule43[[#This Row],[PMT NO]]&lt;&gt;"",PaymentSchedule43[[#This Row],[TOTAL PAYMENT]]-PaymentSchedule43[[#This Row],[INTEREST]],"")</f>
        <v/>
      </c>
      <c r="I251" s="32" t="str">
        <f>IF(PaymentSchedule43[[#This Row],[PMT NO]]&lt;&gt;"",PaymentSchedule43[[#This Row],[BEGINNING BALANCE]]*(InterestRate/PaymentsPerYear),"")</f>
        <v/>
      </c>
      <c r="J25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51" s="32" t="str">
        <f>IF(PaymentSchedule43[[#This Row],[PMT NO]]&lt;&gt;"",SUM(INDEX(PaymentSchedule43[INTEREST],1,1):PaymentSchedule43[[#This Row],[INTEREST]]),"")</f>
        <v/>
      </c>
    </row>
    <row r="252" spans="2:11" x14ac:dyDescent="0.3">
      <c r="B252" s="30" t="str">
        <f>IF(LoanIsGood,IF(ROW()-ROW(PaymentSchedule43[[#Headers],[PMT NO]])&gt;ScheduledNumberOfPayments,"",ROW()-ROW(PaymentSchedule43[[#Headers],[PMT NO]])),"")</f>
        <v/>
      </c>
      <c r="C252" s="31" t="str">
        <f>IF(PaymentSchedule43[[#This Row],[PMT NO]]&lt;&gt;"",EOMONTH(LoanStartDate,ROW(PaymentSchedule43[[#This Row],[PMT NO]])-ROW(PaymentSchedule43[[#Headers],[PMT NO]])-2)+DAY(LoanStartDate),"")</f>
        <v/>
      </c>
      <c r="D25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52" s="32" t="str">
        <f>IF(PaymentSchedule43[[#This Row],[PMT NO]]&lt;&gt;"",ScheduledPayment,"")</f>
        <v/>
      </c>
      <c r="F25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5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52" s="32" t="str">
        <f>IF(PaymentSchedule43[[#This Row],[PMT NO]]&lt;&gt;"",PaymentSchedule43[[#This Row],[TOTAL PAYMENT]]-PaymentSchedule43[[#This Row],[INTEREST]],"")</f>
        <v/>
      </c>
      <c r="I252" s="32" t="str">
        <f>IF(PaymentSchedule43[[#This Row],[PMT NO]]&lt;&gt;"",PaymentSchedule43[[#This Row],[BEGINNING BALANCE]]*(InterestRate/PaymentsPerYear),"")</f>
        <v/>
      </c>
      <c r="J25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52" s="32" t="str">
        <f>IF(PaymentSchedule43[[#This Row],[PMT NO]]&lt;&gt;"",SUM(INDEX(PaymentSchedule43[INTEREST],1,1):PaymentSchedule43[[#This Row],[INTEREST]]),"")</f>
        <v/>
      </c>
    </row>
    <row r="253" spans="2:11" x14ac:dyDescent="0.3">
      <c r="B253" s="30" t="str">
        <f>IF(LoanIsGood,IF(ROW()-ROW(PaymentSchedule43[[#Headers],[PMT NO]])&gt;ScheduledNumberOfPayments,"",ROW()-ROW(PaymentSchedule43[[#Headers],[PMT NO]])),"")</f>
        <v/>
      </c>
      <c r="C253" s="31" t="str">
        <f>IF(PaymentSchedule43[[#This Row],[PMT NO]]&lt;&gt;"",EOMONTH(LoanStartDate,ROW(PaymentSchedule43[[#This Row],[PMT NO]])-ROW(PaymentSchedule43[[#Headers],[PMT NO]])-2)+DAY(LoanStartDate),"")</f>
        <v/>
      </c>
      <c r="D25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53" s="32" t="str">
        <f>IF(PaymentSchedule43[[#This Row],[PMT NO]]&lt;&gt;"",ScheduledPayment,"")</f>
        <v/>
      </c>
      <c r="F25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5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53" s="32" t="str">
        <f>IF(PaymentSchedule43[[#This Row],[PMT NO]]&lt;&gt;"",PaymentSchedule43[[#This Row],[TOTAL PAYMENT]]-PaymentSchedule43[[#This Row],[INTEREST]],"")</f>
        <v/>
      </c>
      <c r="I253" s="32" t="str">
        <f>IF(PaymentSchedule43[[#This Row],[PMT NO]]&lt;&gt;"",PaymentSchedule43[[#This Row],[BEGINNING BALANCE]]*(InterestRate/PaymentsPerYear),"")</f>
        <v/>
      </c>
      <c r="J25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53" s="32" t="str">
        <f>IF(PaymentSchedule43[[#This Row],[PMT NO]]&lt;&gt;"",SUM(INDEX(PaymentSchedule43[INTEREST],1,1):PaymentSchedule43[[#This Row],[INTEREST]]),"")</f>
        <v/>
      </c>
    </row>
    <row r="254" spans="2:11" x14ac:dyDescent="0.3">
      <c r="B254" s="30" t="str">
        <f>IF(LoanIsGood,IF(ROW()-ROW(PaymentSchedule43[[#Headers],[PMT NO]])&gt;ScheduledNumberOfPayments,"",ROW()-ROW(PaymentSchedule43[[#Headers],[PMT NO]])),"")</f>
        <v/>
      </c>
      <c r="C254" s="31" t="str">
        <f>IF(PaymentSchedule43[[#This Row],[PMT NO]]&lt;&gt;"",EOMONTH(LoanStartDate,ROW(PaymentSchedule43[[#This Row],[PMT NO]])-ROW(PaymentSchedule43[[#Headers],[PMT NO]])-2)+DAY(LoanStartDate),"")</f>
        <v/>
      </c>
      <c r="D25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54" s="32" t="str">
        <f>IF(PaymentSchedule43[[#This Row],[PMT NO]]&lt;&gt;"",ScheduledPayment,"")</f>
        <v/>
      </c>
      <c r="F25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5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54" s="32" t="str">
        <f>IF(PaymentSchedule43[[#This Row],[PMT NO]]&lt;&gt;"",PaymentSchedule43[[#This Row],[TOTAL PAYMENT]]-PaymentSchedule43[[#This Row],[INTEREST]],"")</f>
        <v/>
      </c>
      <c r="I254" s="32" t="str">
        <f>IF(PaymentSchedule43[[#This Row],[PMT NO]]&lt;&gt;"",PaymentSchedule43[[#This Row],[BEGINNING BALANCE]]*(InterestRate/PaymentsPerYear),"")</f>
        <v/>
      </c>
      <c r="J25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54" s="32" t="str">
        <f>IF(PaymentSchedule43[[#This Row],[PMT NO]]&lt;&gt;"",SUM(INDEX(PaymentSchedule43[INTEREST],1,1):PaymentSchedule43[[#This Row],[INTEREST]]),"")</f>
        <v/>
      </c>
    </row>
    <row r="255" spans="2:11" x14ac:dyDescent="0.3">
      <c r="B255" s="30" t="str">
        <f>IF(LoanIsGood,IF(ROW()-ROW(PaymentSchedule43[[#Headers],[PMT NO]])&gt;ScheduledNumberOfPayments,"",ROW()-ROW(PaymentSchedule43[[#Headers],[PMT NO]])),"")</f>
        <v/>
      </c>
      <c r="C255" s="31" t="str">
        <f>IF(PaymentSchedule43[[#This Row],[PMT NO]]&lt;&gt;"",EOMONTH(LoanStartDate,ROW(PaymentSchedule43[[#This Row],[PMT NO]])-ROW(PaymentSchedule43[[#Headers],[PMT NO]])-2)+DAY(LoanStartDate),"")</f>
        <v/>
      </c>
      <c r="D25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55" s="32" t="str">
        <f>IF(PaymentSchedule43[[#This Row],[PMT NO]]&lt;&gt;"",ScheduledPayment,"")</f>
        <v/>
      </c>
      <c r="F25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5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55" s="32" t="str">
        <f>IF(PaymentSchedule43[[#This Row],[PMT NO]]&lt;&gt;"",PaymentSchedule43[[#This Row],[TOTAL PAYMENT]]-PaymentSchedule43[[#This Row],[INTEREST]],"")</f>
        <v/>
      </c>
      <c r="I255" s="32" t="str">
        <f>IF(PaymentSchedule43[[#This Row],[PMT NO]]&lt;&gt;"",PaymentSchedule43[[#This Row],[BEGINNING BALANCE]]*(InterestRate/PaymentsPerYear),"")</f>
        <v/>
      </c>
      <c r="J25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55" s="32" t="str">
        <f>IF(PaymentSchedule43[[#This Row],[PMT NO]]&lt;&gt;"",SUM(INDEX(PaymentSchedule43[INTEREST],1,1):PaymentSchedule43[[#This Row],[INTEREST]]),"")</f>
        <v/>
      </c>
    </row>
    <row r="256" spans="2:11" x14ac:dyDescent="0.3">
      <c r="B256" s="30" t="str">
        <f>IF(LoanIsGood,IF(ROW()-ROW(PaymentSchedule43[[#Headers],[PMT NO]])&gt;ScheduledNumberOfPayments,"",ROW()-ROW(PaymentSchedule43[[#Headers],[PMT NO]])),"")</f>
        <v/>
      </c>
      <c r="C256" s="31" t="str">
        <f>IF(PaymentSchedule43[[#This Row],[PMT NO]]&lt;&gt;"",EOMONTH(LoanStartDate,ROW(PaymentSchedule43[[#This Row],[PMT NO]])-ROW(PaymentSchedule43[[#Headers],[PMT NO]])-2)+DAY(LoanStartDate),"")</f>
        <v/>
      </c>
      <c r="D25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56" s="32" t="str">
        <f>IF(PaymentSchedule43[[#This Row],[PMT NO]]&lt;&gt;"",ScheduledPayment,"")</f>
        <v/>
      </c>
      <c r="F25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5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56" s="32" t="str">
        <f>IF(PaymentSchedule43[[#This Row],[PMT NO]]&lt;&gt;"",PaymentSchedule43[[#This Row],[TOTAL PAYMENT]]-PaymentSchedule43[[#This Row],[INTEREST]],"")</f>
        <v/>
      </c>
      <c r="I256" s="32" t="str">
        <f>IF(PaymentSchedule43[[#This Row],[PMT NO]]&lt;&gt;"",PaymentSchedule43[[#This Row],[BEGINNING BALANCE]]*(InterestRate/PaymentsPerYear),"")</f>
        <v/>
      </c>
      <c r="J25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56" s="32" t="str">
        <f>IF(PaymentSchedule43[[#This Row],[PMT NO]]&lt;&gt;"",SUM(INDEX(PaymentSchedule43[INTEREST],1,1):PaymentSchedule43[[#This Row],[INTEREST]]),"")</f>
        <v/>
      </c>
    </row>
    <row r="257" spans="2:11" x14ac:dyDescent="0.3">
      <c r="B257" s="30" t="str">
        <f>IF(LoanIsGood,IF(ROW()-ROW(PaymentSchedule43[[#Headers],[PMT NO]])&gt;ScheduledNumberOfPayments,"",ROW()-ROW(PaymentSchedule43[[#Headers],[PMT NO]])),"")</f>
        <v/>
      </c>
      <c r="C257" s="31" t="str">
        <f>IF(PaymentSchedule43[[#This Row],[PMT NO]]&lt;&gt;"",EOMONTH(LoanStartDate,ROW(PaymentSchedule43[[#This Row],[PMT NO]])-ROW(PaymentSchedule43[[#Headers],[PMT NO]])-2)+DAY(LoanStartDate),"")</f>
        <v/>
      </c>
      <c r="D25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57" s="32" t="str">
        <f>IF(PaymentSchedule43[[#This Row],[PMT NO]]&lt;&gt;"",ScheduledPayment,"")</f>
        <v/>
      </c>
      <c r="F25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5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57" s="32" t="str">
        <f>IF(PaymentSchedule43[[#This Row],[PMT NO]]&lt;&gt;"",PaymentSchedule43[[#This Row],[TOTAL PAYMENT]]-PaymentSchedule43[[#This Row],[INTEREST]],"")</f>
        <v/>
      </c>
      <c r="I257" s="32" t="str">
        <f>IF(PaymentSchedule43[[#This Row],[PMT NO]]&lt;&gt;"",PaymentSchedule43[[#This Row],[BEGINNING BALANCE]]*(InterestRate/PaymentsPerYear),"")</f>
        <v/>
      </c>
      <c r="J25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57" s="32" t="str">
        <f>IF(PaymentSchedule43[[#This Row],[PMT NO]]&lt;&gt;"",SUM(INDEX(PaymentSchedule43[INTEREST],1,1):PaymentSchedule43[[#This Row],[INTEREST]]),"")</f>
        <v/>
      </c>
    </row>
    <row r="258" spans="2:11" x14ac:dyDescent="0.3">
      <c r="B258" s="30" t="str">
        <f>IF(LoanIsGood,IF(ROW()-ROW(PaymentSchedule43[[#Headers],[PMT NO]])&gt;ScheduledNumberOfPayments,"",ROW()-ROW(PaymentSchedule43[[#Headers],[PMT NO]])),"")</f>
        <v/>
      </c>
      <c r="C258" s="31" t="str">
        <f>IF(PaymentSchedule43[[#This Row],[PMT NO]]&lt;&gt;"",EOMONTH(LoanStartDate,ROW(PaymentSchedule43[[#This Row],[PMT NO]])-ROW(PaymentSchedule43[[#Headers],[PMT NO]])-2)+DAY(LoanStartDate),"")</f>
        <v/>
      </c>
      <c r="D25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58" s="32" t="str">
        <f>IF(PaymentSchedule43[[#This Row],[PMT NO]]&lt;&gt;"",ScheduledPayment,"")</f>
        <v/>
      </c>
      <c r="F25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5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58" s="32" t="str">
        <f>IF(PaymentSchedule43[[#This Row],[PMT NO]]&lt;&gt;"",PaymentSchedule43[[#This Row],[TOTAL PAYMENT]]-PaymentSchedule43[[#This Row],[INTEREST]],"")</f>
        <v/>
      </c>
      <c r="I258" s="32" t="str">
        <f>IF(PaymentSchedule43[[#This Row],[PMT NO]]&lt;&gt;"",PaymentSchedule43[[#This Row],[BEGINNING BALANCE]]*(InterestRate/PaymentsPerYear),"")</f>
        <v/>
      </c>
      <c r="J25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58" s="32" t="str">
        <f>IF(PaymentSchedule43[[#This Row],[PMT NO]]&lt;&gt;"",SUM(INDEX(PaymentSchedule43[INTEREST],1,1):PaymentSchedule43[[#This Row],[INTEREST]]),"")</f>
        <v/>
      </c>
    </row>
    <row r="259" spans="2:11" x14ac:dyDescent="0.3">
      <c r="B259" s="30" t="str">
        <f>IF(LoanIsGood,IF(ROW()-ROW(PaymentSchedule43[[#Headers],[PMT NO]])&gt;ScheduledNumberOfPayments,"",ROW()-ROW(PaymentSchedule43[[#Headers],[PMT NO]])),"")</f>
        <v/>
      </c>
      <c r="C259" s="31" t="str">
        <f>IF(PaymentSchedule43[[#This Row],[PMT NO]]&lt;&gt;"",EOMONTH(LoanStartDate,ROW(PaymentSchedule43[[#This Row],[PMT NO]])-ROW(PaymentSchedule43[[#Headers],[PMT NO]])-2)+DAY(LoanStartDate),"")</f>
        <v/>
      </c>
      <c r="D25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59" s="32" t="str">
        <f>IF(PaymentSchedule43[[#This Row],[PMT NO]]&lt;&gt;"",ScheduledPayment,"")</f>
        <v/>
      </c>
      <c r="F25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5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59" s="32" t="str">
        <f>IF(PaymentSchedule43[[#This Row],[PMT NO]]&lt;&gt;"",PaymentSchedule43[[#This Row],[TOTAL PAYMENT]]-PaymentSchedule43[[#This Row],[INTEREST]],"")</f>
        <v/>
      </c>
      <c r="I259" s="32" t="str">
        <f>IF(PaymentSchedule43[[#This Row],[PMT NO]]&lt;&gt;"",PaymentSchedule43[[#This Row],[BEGINNING BALANCE]]*(InterestRate/PaymentsPerYear),"")</f>
        <v/>
      </c>
      <c r="J25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59" s="32" t="str">
        <f>IF(PaymentSchedule43[[#This Row],[PMT NO]]&lt;&gt;"",SUM(INDEX(PaymentSchedule43[INTEREST],1,1):PaymentSchedule43[[#This Row],[INTEREST]]),"")</f>
        <v/>
      </c>
    </row>
    <row r="260" spans="2:11" x14ac:dyDescent="0.3">
      <c r="B260" s="30" t="str">
        <f>IF(LoanIsGood,IF(ROW()-ROW(PaymentSchedule43[[#Headers],[PMT NO]])&gt;ScheduledNumberOfPayments,"",ROW()-ROW(PaymentSchedule43[[#Headers],[PMT NO]])),"")</f>
        <v/>
      </c>
      <c r="C260" s="31" t="str">
        <f>IF(PaymentSchedule43[[#This Row],[PMT NO]]&lt;&gt;"",EOMONTH(LoanStartDate,ROW(PaymentSchedule43[[#This Row],[PMT NO]])-ROW(PaymentSchedule43[[#Headers],[PMT NO]])-2)+DAY(LoanStartDate),"")</f>
        <v/>
      </c>
      <c r="D26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60" s="32" t="str">
        <f>IF(PaymentSchedule43[[#This Row],[PMT NO]]&lt;&gt;"",ScheduledPayment,"")</f>
        <v/>
      </c>
      <c r="F26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6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60" s="32" t="str">
        <f>IF(PaymentSchedule43[[#This Row],[PMT NO]]&lt;&gt;"",PaymentSchedule43[[#This Row],[TOTAL PAYMENT]]-PaymentSchedule43[[#This Row],[INTEREST]],"")</f>
        <v/>
      </c>
      <c r="I260" s="32" t="str">
        <f>IF(PaymentSchedule43[[#This Row],[PMT NO]]&lt;&gt;"",PaymentSchedule43[[#This Row],[BEGINNING BALANCE]]*(InterestRate/PaymentsPerYear),"")</f>
        <v/>
      </c>
      <c r="J26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60" s="32" t="str">
        <f>IF(PaymentSchedule43[[#This Row],[PMT NO]]&lt;&gt;"",SUM(INDEX(PaymentSchedule43[INTEREST],1,1):PaymentSchedule43[[#This Row],[INTEREST]]),"")</f>
        <v/>
      </c>
    </row>
    <row r="261" spans="2:11" x14ac:dyDescent="0.3">
      <c r="B261" s="30" t="str">
        <f>IF(LoanIsGood,IF(ROW()-ROW(PaymentSchedule43[[#Headers],[PMT NO]])&gt;ScheduledNumberOfPayments,"",ROW()-ROW(PaymentSchedule43[[#Headers],[PMT NO]])),"")</f>
        <v/>
      </c>
      <c r="C261" s="31" t="str">
        <f>IF(PaymentSchedule43[[#This Row],[PMT NO]]&lt;&gt;"",EOMONTH(LoanStartDate,ROW(PaymentSchedule43[[#This Row],[PMT NO]])-ROW(PaymentSchedule43[[#Headers],[PMT NO]])-2)+DAY(LoanStartDate),"")</f>
        <v/>
      </c>
      <c r="D26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61" s="32" t="str">
        <f>IF(PaymentSchedule43[[#This Row],[PMT NO]]&lt;&gt;"",ScheduledPayment,"")</f>
        <v/>
      </c>
      <c r="F26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6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61" s="32" t="str">
        <f>IF(PaymentSchedule43[[#This Row],[PMT NO]]&lt;&gt;"",PaymentSchedule43[[#This Row],[TOTAL PAYMENT]]-PaymentSchedule43[[#This Row],[INTEREST]],"")</f>
        <v/>
      </c>
      <c r="I261" s="32" t="str">
        <f>IF(PaymentSchedule43[[#This Row],[PMT NO]]&lt;&gt;"",PaymentSchedule43[[#This Row],[BEGINNING BALANCE]]*(InterestRate/PaymentsPerYear),"")</f>
        <v/>
      </c>
      <c r="J26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61" s="32" t="str">
        <f>IF(PaymentSchedule43[[#This Row],[PMT NO]]&lt;&gt;"",SUM(INDEX(PaymentSchedule43[INTEREST],1,1):PaymentSchedule43[[#This Row],[INTEREST]]),"")</f>
        <v/>
      </c>
    </row>
    <row r="262" spans="2:11" x14ac:dyDescent="0.3">
      <c r="B262" s="30" t="str">
        <f>IF(LoanIsGood,IF(ROW()-ROW(PaymentSchedule43[[#Headers],[PMT NO]])&gt;ScheduledNumberOfPayments,"",ROW()-ROW(PaymentSchedule43[[#Headers],[PMT NO]])),"")</f>
        <v/>
      </c>
      <c r="C262" s="31" t="str">
        <f>IF(PaymentSchedule43[[#This Row],[PMT NO]]&lt;&gt;"",EOMONTH(LoanStartDate,ROW(PaymentSchedule43[[#This Row],[PMT NO]])-ROW(PaymentSchedule43[[#Headers],[PMT NO]])-2)+DAY(LoanStartDate),"")</f>
        <v/>
      </c>
      <c r="D26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62" s="32" t="str">
        <f>IF(PaymentSchedule43[[#This Row],[PMT NO]]&lt;&gt;"",ScheduledPayment,"")</f>
        <v/>
      </c>
      <c r="F26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6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62" s="32" t="str">
        <f>IF(PaymentSchedule43[[#This Row],[PMT NO]]&lt;&gt;"",PaymentSchedule43[[#This Row],[TOTAL PAYMENT]]-PaymentSchedule43[[#This Row],[INTEREST]],"")</f>
        <v/>
      </c>
      <c r="I262" s="32" t="str">
        <f>IF(PaymentSchedule43[[#This Row],[PMT NO]]&lt;&gt;"",PaymentSchedule43[[#This Row],[BEGINNING BALANCE]]*(InterestRate/PaymentsPerYear),"")</f>
        <v/>
      </c>
      <c r="J26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62" s="32" t="str">
        <f>IF(PaymentSchedule43[[#This Row],[PMT NO]]&lt;&gt;"",SUM(INDEX(PaymentSchedule43[INTEREST],1,1):PaymentSchedule43[[#This Row],[INTEREST]]),"")</f>
        <v/>
      </c>
    </row>
    <row r="263" spans="2:11" x14ac:dyDescent="0.3">
      <c r="B263" s="30" t="str">
        <f>IF(LoanIsGood,IF(ROW()-ROW(PaymentSchedule43[[#Headers],[PMT NO]])&gt;ScheduledNumberOfPayments,"",ROW()-ROW(PaymentSchedule43[[#Headers],[PMT NO]])),"")</f>
        <v/>
      </c>
      <c r="C263" s="31" t="str">
        <f>IF(PaymentSchedule43[[#This Row],[PMT NO]]&lt;&gt;"",EOMONTH(LoanStartDate,ROW(PaymentSchedule43[[#This Row],[PMT NO]])-ROW(PaymentSchedule43[[#Headers],[PMT NO]])-2)+DAY(LoanStartDate),"")</f>
        <v/>
      </c>
      <c r="D26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63" s="32" t="str">
        <f>IF(PaymentSchedule43[[#This Row],[PMT NO]]&lt;&gt;"",ScheduledPayment,"")</f>
        <v/>
      </c>
      <c r="F26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6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63" s="32" t="str">
        <f>IF(PaymentSchedule43[[#This Row],[PMT NO]]&lt;&gt;"",PaymentSchedule43[[#This Row],[TOTAL PAYMENT]]-PaymentSchedule43[[#This Row],[INTEREST]],"")</f>
        <v/>
      </c>
      <c r="I263" s="32" t="str">
        <f>IF(PaymentSchedule43[[#This Row],[PMT NO]]&lt;&gt;"",PaymentSchedule43[[#This Row],[BEGINNING BALANCE]]*(InterestRate/PaymentsPerYear),"")</f>
        <v/>
      </c>
      <c r="J26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63" s="32" t="str">
        <f>IF(PaymentSchedule43[[#This Row],[PMT NO]]&lt;&gt;"",SUM(INDEX(PaymentSchedule43[INTEREST],1,1):PaymentSchedule43[[#This Row],[INTEREST]]),"")</f>
        <v/>
      </c>
    </row>
    <row r="264" spans="2:11" x14ac:dyDescent="0.3">
      <c r="B264" s="30" t="str">
        <f>IF(LoanIsGood,IF(ROW()-ROW(PaymentSchedule43[[#Headers],[PMT NO]])&gt;ScheduledNumberOfPayments,"",ROW()-ROW(PaymentSchedule43[[#Headers],[PMT NO]])),"")</f>
        <v/>
      </c>
      <c r="C264" s="31" t="str">
        <f>IF(PaymentSchedule43[[#This Row],[PMT NO]]&lt;&gt;"",EOMONTH(LoanStartDate,ROW(PaymentSchedule43[[#This Row],[PMT NO]])-ROW(PaymentSchedule43[[#Headers],[PMT NO]])-2)+DAY(LoanStartDate),"")</f>
        <v/>
      </c>
      <c r="D26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64" s="32" t="str">
        <f>IF(PaymentSchedule43[[#This Row],[PMT NO]]&lt;&gt;"",ScheduledPayment,"")</f>
        <v/>
      </c>
      <c r="F26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6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64" s="32" t="str">
        <f>IF(PaymentSchedule43[[#This Row],[PMT NO]]&lt;&gt;"",PaymentSchedule43[[#This Row],[TOTAL PAYMENT]]-PaymentSchedule43[[#This Row],[INTEREST]],"")</f>
        <v/>
      </c>
      <c r="I264" s="32" t="str">
        <f>IF(PaymentSchedule43[[#This Row],[PMT NO]]&lt;&gt;"",PaymentSchedule43[[#This Row],[BEGINNING BALANCE]]*(InterestRate/PaymentsPerYear),"")</f>
        <v/>
      </c>
      <c r="J26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64" s="32" t="str">
        <f>IF(PaymentSchedule43[[#This Row],[PMT NO]]&lt;&gt;"",SUM(INDEX(PaymentSchedule43[INTEREST],1,1):PaymentSchedule43[[#This Row],[INTEREST]]),"")</f>
        <v/>
      </c>
    </row>
    <row r="265" spans="2:11" x14ac:dyDescent="0.3">
      <c r="B265" s="30" t="str">
        <f>IF(LoanIsGood,IF(ROW()-ROW(PaymentSchedule43[[#Headers],[PMT NO]])&gt;ScheduledNumberOfPayments,"",ROW()-ROW(PaymentSchedule43[[#Headers],[PMT NO]])),"")</f>
        <v/>
      </c>
      <c r="C265" s="31" t="str">
        <f>IF(PaymentSchedule43[[#This Row],[PMT NO]]&lt;&gt;"",EOMONTH(LoanStartDate,ROW(PaymentSchedule43[[#This Row],[PMT NO]])-ROW(PaymentSchedule43[[#Headers],[PMT NO]])-2)+DAY(LoanStartDate),"")</f>
        <v/>
      </c>
      <c r="D26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65" s="32" t="str">
        <f>IF(PaymentSchedule43[[#This Row],[PMT NO]]&lt;&gt;"",ScheduledPayment,"")</f>
        <v/>
      </c>
      <c r="F26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6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65" s="32" t="str">
        <f>IF(PaymentSchedule43[[#This Row],[PMT NO]]&lt;&gt;"",PaymentSchedule43[[#This Row],[TOTAL PAYMENT]]-PaymentSchedule43[[#This Row],[INTEREST]],"")</f>
        <v/>
      </c>
      <c r="I265" s="32" t="str">
        <f>IF(PaymentSchedule43[[#This Row],[PMT NO]]&lt;&gt;"",PaymentSchedule43[[#This Row],[BEGINNING BALANCE]]*(InterestRate/PaymentsPerYear),"")</f>
        <v/>
      </c>
      <c r="J26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65" s="32" t="str">
        <f>IF(PaymentSchedule43[[#This Row],[PMT NO]]&lt;&gt;"",SUM(INDEX(PaymentSchedule43[INTEREST],1,1):PaymentSchedule43[[#This Row],[INTEREST]]),"")</f>
        <v/>
      </c>
    </row>
    <row r="266" spans="2:11" x14ac:dyDescent="0.3">
      <c r="B266" s="30" t="str">
        <f>IF(LoanIsGood,IF(ROW()-ROW(PaymentSchedule43[[#Headers],[PMT NO]])&gt;ScheduledNumberOfPayments,"",ROW()-ROW(PaymentSchedule43[[#Headers],[PMT NO]])),"")</f>
        <v/>
      </c>
      <c r="C266" s="31" t="str">
        <f>IF(PaymentSchedule43[[#This Row],[PMT NO]]&lt;&gt;"",EOMONTH(LoanStartDate,ROW(PaymentSchedule43[[#This Row],[PMT NO]])-ROW(PaymentSchedule43[[#Headers],[PMT NO]])-2)+DAY(LoanStartDate),"")</f>
        <v/>
      </c>
      <c r="D26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66" s="32" t="str">
        <f>IF(PaymentSchedule43[[#This Row],[PMT NO]]&lt;&gt;"",ScheduledPayment,"")</f>
        <v/>
      </c>
      <c r="F26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6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66" s="32" t="str">
        <f>IF(PaymentSchedule43[[#This Row],[PMT NO]]&lt;&gt;"",PaymentSchedule43[[#This Row],[TOTAL PAYMENT]]-PaymentSchedule43[[#This Row],[INTEREST]],"")</f>
        <v/>
      </c>
      <c r="I266" s="32" t="str">
        <f>IF(PaymentSchedule43[[#This Row],[PMT NO]]&lt;&gt;"",PaymentSchedule43[[#This Row],[BEGINNING BALANCE]]*(InterestRate/PaymentsPerYear),"")</f>
        <v/>
      </c>
      <c r="J26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66" s="32" t="str">
        <f>IF(PaymentSchedule43[[#This Row],[PMT NO]]&lt;&gt;"",SUM(INDEX(PaymentSchedule43[INTEREST],1,1):PaymentSchedule43[[#This Row],[INTEREST]]),"")</f>
        <v/>
      </c>
    </row>
    <row r="267" spans="2:11" x14ac:dyDescent="0.3">
      <c r="B267" s="30" t="str">
        <f>IF(LoanIsGood,IF(ROW()-ROW(PaymentSchedule43[[#Headers],[PMT NO]])&gt;ScheduledNumberOfPayments,"",ROW()-ROW(PaymentSchedule43[[#Headers],[PMT NO]])),"")</f>
        <v/>
      </c>
      <c r="C267" s="31" t="str">
        <f>IF(PaymentSchedule43[[#This Row],[PMT NO]]&lt;&gt;"",EOMONTH(LoanStartDate,ROW(PaymentSchedule43[[#This Row],[PMT NO]])-ROW(PaymentSchedule43[[#Headers],[PMT NO]])-2)+DAY(LoanStartDate),"")</f>
        <v/>
      </c>
      <c r="D26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67" s="32" t="str">
        <f>IF(PaymentSchedule43[[#This Row],[PMT NO]]&lt;&gt;"",ScheduledPayment,"")</f>
        <v/>
      </c>
      <c r="F26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6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67" s="32" t="str">
        <f>IF(PaymentSchedule43[[#This Row],[PMT NO]]&lt;&gt;"",PaymentSchedule43[[#This Row],[TOTAL PAYMENT]]-PaymentSchedule43[[#This Row],[INTEREST]],"")</f>
        <v/>
      </c>
      <c r="I267" s="32" t="str">
        <f>IF(PaymentSchedule43[[#This Row],[PMT NO]]&lt;&gt;"",PaymentSchedule43[[#This Row],[BEGINNING BALANCE]]*(InterestRate/PaymentsPerYear),"")</f>
        <v/>
      </c>
      <c r="J26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67" s="32" t="str">
        <f>IF(PaymentSchedule43[[#This Row],[PMT NO]]&lt;&gt;"",SUM(INDEX(PaymentSchedule43[INTEREST],1,1):PaymentSchedule43[[#This Row],[INTEREST]]),"")</f>
        <v/>
      </c>
    </row>
    <row r="268" spans="2:11" x14ac:dyDescent="0.3">
      <c r="B268" s="30" t="str">
        <f>IF(LoanIsGood,IF(ROW()-ROW(PaymentSchedule43[[#Headers],[PMT NO]])&gt;ScheduledNumberOfPayments,"",ROW()-ROW(PaymentSchedule43[[#Headers],[PMT NO]])),"")</f>
        <v/>
      </c>
      <c r="C268" s="31" t="str">
        <f>IF(PaymentSchedule43[[#This Row],[PMT NO]]&lt;&gt;"",EOMONTH(LoanStartDate,ROW(PaymentSchedule43[[#This Row],[PMT NO]])-ROW(PaymentSchedule43[[#Headers],[PMT NO]])-2)+DAY(LoanStartDate),"")</f>
        <v/>
      </c>
      <c r="D26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68" s="32" t="str">
        <f>IF(PaymentSchedule43[[#This Row],[PMT NO]]&lt;&gt;"",ScheduledPayment,"")</f>
        <v/>
      </c>
      <c r="F26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6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68" s="32" t="str">
        <f>IF(PaymentSchedule43[[#This Row],[PMT NO]]&lt;&gt;"",PaymentSchedule43[[#This Row],[TOTAL PAYMENT]]-PaymentSchedule43[[#This Row],[INTEREST]],"")</f>
        <v/>
      </c>
      <c r="I268" s="32" t="str">
        <f>IF(PaymentSchedule43[[#This Row],[PMT NO]]&lt;&gt;"",PaymentSchedule43[[#This Row],[BEGINNING BALANCE]]*(InterestRate/PaymentsPerYear),"")</f>
        <v/>
      </c>
      <c r="J26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68" s="32" t="str">
        <f>IF(PaymentSchedule43[[#This Row],[PMT NO]]&lt;&gt;"",SUM(INDEX(PaymentSchedule43[INTEREST],1,1):PaymentSchedule43[[#This Row],[INTEREST]]),"")</f>
        <v/>
      </c>
    </row>
    <row r="269" spans="2:11" x14ac:dyDescent="0.3">
      <c r="B269" s="30" t="str">
        <f>IF(LoanIsGood,IF(ROW()-ROW(PaymentSchedule43[[#Headers],[PMT NO]])&gt;ScheduledNumberOfPayments,"",ROW()-ROW(PaymentSchedule43[[#Headers],[PMT NO]])),"")</f>
        <v/>
      </c>
      <c r="C269" s="31" t="str">
        <f>IF(PaymentSchedule43[[#This Row],[PMT NO]]&lt;&gt;"",EOMONTH(LoanStartDate,ROW(PaymentSchedule43[[#This Row],[PMT NO]])-ROW(PaymentSchedule43[[#Headers],[PMT NO]])-2)+DAY(LoanStartDate),"")</f>
        <v/>
      </c>
      <c r="D26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69" s="32" t="str">
        <f>IF(PaymentSchedule43[[#This Row],[PMT NO]]&lt;&gt;"",ScheduledPayment,"")</f>
        <v/>
      </c>
      <c r="F26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6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69" s="32" t="str">
        <f>IF(PaymentSchedule43[[#This Row],[PMT NO]]&lt;&gt;"",PaymentSchedule43[[#This Row],[TOTAL PAYMENT]]-PaymentSchedule43[[#This Row],[INTEREST]],"")</f>
        <v/>
      </c>
      <c r="I269" s="32" t="str">
        <f>IF(PaymentSchedule43[[#This Row],[PMT NO]]&lt;&gt;"",PaymentSchedule43[[#This Row],[BEGINNING BALANCE]]*(InterestRate/PaymentsPerYear),"")</f>
        <v/>
      </c>
      <c r="J26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69" s="32" t="str">
        <f>IF(PaymentSchedule43[[#This Row],[PMT NO]]&lt;&gt;"",SUM(INDEX(PaymentSchedule43[INTEREST],1,1):PaymentSchedule43[[#This Row],[INTEREST]]),"")</f>
        <v/>
      </c>
    </row>
    <row r="270" spans="2:11" x14ac:dyDescent="0.3">
      <c r="B270" s="30" t="str">
        <f>IF(LoanIsGood,IF(ROW()-ROW(PaymentSchedule43[[#Headers],[PMT NO]])&gt;ScheduledNumberOfPayments,"",ROW()-ROW(PaymentSchedule43[[#Headers],[PMT NO]])),"")</f>
        <v/>
      </c>
      <c r="C270" s="31" t="str">
        <f>IF(PaymentSchedule43[[#This Row],[PMT NO]]&lt;&gt;"",EOMONTH(LoanStartDate,ROW(PaymentSchedule43[[#This Row],[PMT NO]])-ROW(PaymentSchedule43[[#Headers],[PMT NO]])-2)+DAY(LoanStartDate),"")</f>
        <v/>
      </c>
      <c r="D27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70" s="32" t="str">
        <f>IF(PaymentSchedule43[[#This Row],[PMT NO]]&lt;&gt;"",ScheduledPayment,"")</f>
        <v/>
      </c>
      <c r="F27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7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70" s="32" t="str">
        <f>IF(PaymentSchedule43[[#This Row],[PMT NO]]&lt;&gt;"",PaymentSchedule43[[#This Row],[TOTAL PAYMENT]]-PaymentSchedule43[[#This Row],[INTEREST]],"")</f>
        <v/>
      </c>
      <c r="I270" s="32" t="str">
        <f>IF(PaymentSchedule43[[#This Row],[PMT NO]]&lt;&gt;"",PaymentSchedule43[[#This Row],[BEGINNING BALANCE]]*(InterestRate/PaymentsPerYear),"")</f>
        <v/>
      </c>
      <c r="J27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70" s="32" t="str">
        <f>IF(PaymentSchedule43[[#This Row],[PMT NO]]&lt;&gt;"",SUM(INDEX(PaymentSchedule43[INTEREST],1,1):PaymentSchedule43[[#This Row],[INTEREST]]),"")</f>
        <v/>
      </c>
    </row>
    <row r="271" spans="2:11" x14ac:dyDescent="0.3">
      <c r="B271" s="30" t="str">
        <f>IF(LoanIsGood,IF(ROW()-ROW(PaymentSchedule43[[#Headers],[PMT NO]])&gt;ScheduledNumberOfPayments,"",ROW()-ROW(PaymentSchedule43[[#Headers],[PMT NO]])),"")</f>
        <v/>
      </c>
      <c r="C271" s="31" t="str">
        <f>IF(PaymentSchedule43[[#This Row],[PMT NO]]&lt;&gt;"",EOMONTH(LoanStartDate,ROW(PaymentSchedule43[[#This Row],[PMT NO]])-ROW(PaymentSchedule43[[#Headers],[PMT NO]])-2)+DAY(LoanStartDate),"")</f>
        <v/>
      </c>
      <c r="D27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71" s="32" t="str">
        <f>IF(PaymentSchedule43[[#This Row],[PMT NO]]&lt;&gt;"",ScheduledPayment,"")</f>
        <v/>
      </c>
      <c r="F27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7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71" s="32" t="str">
        <f>IF(PaymentSchedule43[[#This Row],[PMT NO]]&lt;&gt;"",PaymentSchedule43[[#This Row],[TOTAL PAYMENT]]-PaymentSchedule43[[#This Row],[INTEREST]],"")</f>
        <v/>
      </c>
      <c r="I271" s="32" t="str">
        <f>IF(PaymentSchedule43[[#This Row],[PMT NO]]&lt;&gt;"",PaymentSchedule43[[#This Row],[BEGINNING BALANCE]]*(InterestRate/PaymentsPerYear),"")</f>
        <v/>
      </c>
      <c r="J27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71" s="32" t="str">
        <f>IF(PaymentSchedule43[[#This Row],[PMT NO]]&lt;&gt;"",SUM(INDEX(PaymentSchedule43[INTEREST],1,1):PaymentSchedule43[[#This Row],[INTEREST]]),"")</f>
        <v/>
      </c>
    </row>
    <row r="272" spans="2:11" x14ac:dyDescent="0.3">
      <c r="B272" s="30" t="str">
        <f>IF(LoanIsGood,IF(ROW()-ROW(PaymentSchedule43[[#Headers],[PMT NO]])&gt;ScheduledNumberOfPayments,"",ROW()-ROW(PaymentSchedule43[[#Headers],[PMT NO]])),"")</f>
        <v/>
      </c>
      <c r="C272" s="31" t="str">
        <f>IF(PaymentSchedule43[[#This Row],[PMT NO]]&lt;&gt;"",EOMONTH(LoanStartDate,ROW(PaymentSchedule43[[#This Row],[PMT NO]])-ROW(PaymentSchedule43[[#Headers],[PMT NO]])-2)+DAY(LoanStartDate),"")</f>
        <v/>
      </c>
      <c r="D27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72" s="32" t="str">
        <f>IF(PaymentSchedule43[[#This Row],[PMT NO]]&lt;&gt;"",ScheduledPayment,"")</f>
        <v/>
      </c>
      <c r="F27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7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72" s="32" t="str">
        <f>IF(PaymentSchedule43[[#This Row],[PMT NO]]&lt;&gt;"",PaymentSchedule43[[#This Row],[TOTAL PAYMENT]]-PaymentSchedule43[[#This Row],[INTEREST]],"")</f>
        <v/>
      </c>
      <c r="I272" s="32" t="str">
        <f>IF(PaymentSchedule43[[#This Row],[PMT NO]]&lt;&gt;"",PaymentSchedule43[[#This Row],[BEGINNING BALANCE]]*(InterestRate/PaymentsPerYear),"")</f>
        <v/>
      </c>
      <c r="J27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72" s="32" t="str">
        <f>IF(PaymentSchedule43[[#This Row],[PMT NO]]&lt;&gt;"",SUM(INDEX(PaymentSchedule43[INTEREST],1,1):PaymentSchedule43[[#This Row],[INTEREST]]),"")</f>
        <v/>
      </c>
    </row>
    <row r="273" spans="2:11" x14ac:dyDescent="0.3">
      <c r="B273" s="30" t="str">
        <f>IF(LoanIsGood,IF(ROW()-ROW(PaymentSchedule43[[#Headers],[PMT NO]])&gt;ScheduledNumberOfPayments,"",ROW()-ROW(PaymentSchedule43[[#Headers],[PMT NO]])),"")</f>
        <v/>
      </c>
      <c r="C273" s="31" t="str">
        <f>IF(PaymentSchedule43[[#This Row],[PMT NO]]&lt;&gt;"",EOMONTH(LoanStartDate,ROW(PaymentSchedule43[[#This Row],[PMT NO]])-ROW(PaymentSchedule43[[#Headers],[PMT NO]])-2)+DAY(LoanStartDate),"")</f>
        <v/>
      </c>
      <c r="D27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73" s="32" t="str">
        <f>IF(PaymentSchedule43[[#This Row],[PMT NO]]&lt;&gt;"",ScheduledPayment,"")</f>
        <v/>
      </c>
      <c r="F27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7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73" s="32" t="str">
        <f>IF(PaymentSchedule43[[#This Row],[PMT NO]]&lt;&gt;"",PaymentSchedule43[[#This Row],[TOTAL PAYMENT]]-PaymentSchedule43[[#This Row],[INTEREST]],"")</f>
        <v/>
      </c>
      <c r="I273" s="32" t="str">
        <f>IF(PaymentSchedule43[[#This Row],[PMT NO]]&lt;&gt;"",PaymentSchedule43[[#This Row],[BEGINNING BALANCE]]*(InterestRate/PaymentsPerYear),"")</f>
        <v/>
      </c>
      <c r="J27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73" s="32" t="str">
        <f>IF(PaymentSchedule43[[#This Row],[PMT NO]]&lt;&gt;"",SUM(INDEX(PaymentSchedule43[INTEREST],1,1):PaymentSchedule43[[#This Row],[INTEREST]]),"")</f>
        <v/>
      </c>
    </row>
    <row r="274" spans="2:11" x14ac:dyDescent="0.3">
      <c r="B274" s="30" t="str">
        <f>IF(LoanIsGood,IF(ROW()-ROW(PaymentSchedule43[[#Headers],[PMT NO]])&gt;ScheduledNumberOfPayments,"",ROW()-ROW(PaymentSchedule43[[#Headers],[PMT NO]])),"")</f>
        <v/>
      </c>
      <c r="C274" s="31" t="str">
        <f>IF(PaymentSchedule43[[#This Row],[PMT NO]]&lt;&gt;"",EOMONTH(LoanStartDate,ROW(PaymentSchedule43[[#This Row],[PMT NO]])-ROW(PaymentSchedule43[[#Headers],[PMT NO]])-2)+DAY(LoanStartDate),"")</f>
        <v/>
      </c>
      <c r="D27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74" s="32" t="str">
        <f>IF(PaymentSchedule43[[#This Row],[PMT NO]]&lt;&gt;"",ScheduledPayment,"")</f>
        <v/>
      </c>
      <c r="F27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7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74" s="32" t="str">
        <f>IF(PaymentSchedule43[[#This Row],[PMT NO]]&lt;&gt;"",PaymentSchedule43[[#This Row],[TOTAL PAYMENT]]-PaymentSchedule43[[#This Row],[INTEREST]],"")</f>
        <v/>
      </c>
      <c r="I274" s="32" t="str">
        <f>IF(PaymentSchedule43[[#This Row],[PMT NO]]&lt;&gt;"",PaymentSchedule43[[#This Row],[BEGINNING BALANCE]]*(InterestRate/PaymentsPerYear),"")</f>
        <v/>
      </c>
      <c r="J27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74" s="32" t="str">
        <f>IF(PaymentSchedule43[[#This Row],[PMT NO]]&lt;&gt;"",SUM(INDEX(PaymentSchedule43[INTEREST],1,1):PaymentSchedule43[[#This Row],[INTEREST]]),"")</f>
        <v/>
      </c>
    </row>
    <row r="275" spans="2:11" x14ac:dyDescent="0.3">
      <c r="B275" s="30" t="str">
        <f>IF(LoanIsGood,IF(ROW()-ROW(PaymentSchedule43[[#Headers],[PMT NO]])&gt;ScheduledNumberOfPayments,"",ROW()-ROW(PaymentSchedule43[[#Headers],[PMT NO]])),"")</f>
        <v/>
      </c>
      <c r="C275" s="31" t="str">
        <f>IF(PaymentSchedule43[[#This Row],[PMT NO]]&lt;&gt;"",EOMONTH(LoanStartDate,ROW(PaymentSchedule43[[#This Row],[PMT NO]])-ROW(PaymentSchedule43[[#Headers],[PMT NO]])-2)+DAY(LoanStartDate),"")</f>
        <v/>
      </c>
      <c r="D27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75" s="32" t="str">
        <f>IF(PaymentSchedule43[[#This Row],[PMT NO]]&lt;&gt;"",ScheduledPayment,"")</f>
        <v/>
      </c>
      <c r="F27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7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75" s="32" t="str">
        <f>IF(PaymentSchedule43[[#This Row],[PMT NO]]&lt;&gt;"",PaymentSchedule43[[#This Row],[TOTAL PAYMENT]]-PaymentSchedule43[[#This Row],[INTEREST]],"")</f>
        <v/>
      </c>
      <c r="I275" s="32" t="str">
        <f>IF(PaymentSchedule43[[#This Row],[PMT NO]]&lt;&gt;"",PaymentSchedule43[[#This Row],[BEGINNING BALANCE]]*(InterestRate/PaymentsPerYear),"")</f>
        <v/>
      </c>
      <c r="J27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75" s="32" t="str">
        <f>IF(PaymentSchedule43[[#This Row],[PMT NO]]&lt;&gt;"",SUM(INDEX(PaymentSchedule43[INTEREST],1,1):PaymentSchedule43[[#This Row],[INTEREST]]),"")</f>
        <v/>
      </c>
    </row>
    <row r="276" spans="2:11" x14ac:dyDescent="0.3">
      <c r="B276" s="30" t="str">
        <f>IF(LoanIsGood,IF(ROW()-ROW(PaymentSchedule43[[#Headers],[PMT NO]])&gt;ScheduledNumberOfPayments,"",ROW()-ROW(PaymentSchedule43[[#Headers],[PMT NO]])),"")</f>
        <v/>
      </c>
      <c r="C276" s="31" t="str">
        <f>IF(PaymentSchedule43[[#This Row],[PMT NO]]&lt;&gt;"",EOMONTH(LoanStartDate,ROW(PaymentSchedule43[[#This Row],[PMT NO]])-ROW(PaymentSchedule43[[#Headers],[PMT NO]])-2)+DAY(LoanStartDate),"")</f>
        <v/>
      </c>
      <c r="D27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76" s="32" t="str">
        <f>IF(PaymentSchedule43[[#This Row],[PMT NO]]&lt;&gt;"",ScheduledPayment,"")</f>
        <v/>
      </c>
      <c r="F27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7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76" s="32" t="str">
        <f>IF(PaymentSchedule43[[#This Row],[PMT NO]]&lt;&gt;"",PaymentSchedule43[[#This Row],[TOTAL PAYMENT]]-PaymentSchedule43[[#This Row],[INTEREST]],"")</f>
        <v/>
      </c>
      <c r="I276" s="32" t="str">
        <f>IF(PaymentSchedule43[[#This Row],[PMT NO]]&lt;&gt;"",PaymentSchedule43[[#This Row],[BEGINNING BALANCE]]*(InterestRate/PaymentsPerYear),"")</f>
        <v/>
      </c>
      <c r="J27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76" s="32" t="str">
        <f>IF(PaymentSchedule43[[#This Row],[PMT NO]]&lt;&gt;"",SUM(INDEX(PaymentSchedule43[INTEREST],1,1):PaymentSchedule43[[#This Row],[INTEREST]]),"")</f>
        <v/>
      </c>
    </row>
    <row r="277" spans="2:11" x14ac:dyDescent="0.3">
      <c r="B277" s="30" t="str">
        <f>IF(LoanIsGood,IF(ROW()-ROW(PaymentSchedule43[[#Headers],[PMT NO]])&gt;ScheduledNumberOfPayments,"",ROW()-ROW(PaymentSchedule43[[#Headers],[PMT NO]])),"")</f>
        <v/>
      </c>
      <c r="C277" s="31" t="str">
        <f>IF(PaymentSchedule43[[#This Row],[PMT NO]]&lt;&gt;"",EOMONTH(LoanStartDate,ROW(PaymentSchedule43[[#This Row],[PMT NO]])-ROW(PaymentSchedule43[[#Headers],[PMT NO]])-2)+DAY(LoanStartDate),"")</f>
        <v/>
      </c>
      <c r="D27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77" s="32" t="str">
        <f>IF(PaymentSchedule43[[#This Row],[PMT NO]]&lt;&gt;"",ScheduledPayment,"")</f>
        <v/>
      </c>
      <c r="F27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7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77" s="32" t="str">
        <f>IF(PaymentSchedule43[[#This Row],[PMT NO]]&lt;&gt;"",PaymentSchedule43[[#This Row],[TOTAL PAYMENT]]-PaymentSchedule43[[#This Row],[INTEREST]],"")</f>
        <v/>
      </c>
      <c r="I277" s="32" t="str">
        <f>IF(PaymentSchedule43[[#This Row],[PMT NO]]&lt;&gt;"",PaymentSchedule43[[#This Row],[BEGINNING BALANCE]]*(InterestRate/PaymentsPerYear),"")</f>
        <v/>
      </c>
      <c r="J27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77" s="32" t="str">
        <f>IF(PaymentSchedule43[[#This Row],[PMT NO]]&lt;&gt;"",SUM(INDEX(PaymentSchedule43[INTEREST],1,1):PaymentSchedule43[[#This Row],[INTEREST]]),"")</f>
        <v/>
      </c>
    </row>
    <row r="278" spans="2:11" x14ac:dyDescent="0.3">
      <c r="B278" s="30" t="str">
        <f>IF(LoanIsGood,IF(ROW()-ROW(PaymentSchedule43[[#Headers],[PMT NO]])&gt;ScheduledNumberOfPayments,"",ROW()-ROW(PaymentSchedule43[[#Headers],[PMT NO]])),"")</f>
        <v/>
      </c>
      <c r="C278" s="31" t="str">
        <f>IF(PaymentSchedule43[[#This Row],[PMT NO]]&lt;&gt;"",EOMONTH(LoanStartDate,ROW(PaymentSchedule43[[#This Row],[PMT NO]])-ROW(PaymentSchedule43[[#Headers],[PMT NO]])-2)+DAY(LoanStartDate),"")</f>
        <v/>
      </c>
      <c r="D27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78" s="32" t="str">
        <f>IF(PaymentSchedule43[[#This Row],[PMT NO]]&lt;&gt;"",ScheduledPayment,"")</f>
        <v/>
      </c>
      <c r="F27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7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78" s="32" t="str">
        <f>IF(PaymentSchedule43[[#This Row],[PMT NO]]&lt;&gt;"",PaymentSchedule43[[#This Row],[TOTAL PAYMENT]]-PaymentSchedule43[[#This Row],[INTEREST]],"")</f>
        <v/>
      </c>
      <c r="I278" s="32" t="str">
        <f>IF(PaymentSchedule43[[#This Row],[PMT NO]]&lt;&gt;"",PaymentSchedule43[[#This Row],[BEGINNING BALANCE]]*(InterestRate/PaymentsPerYear),"")</f>
        <v/>
      </c>
      <c r="J27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78" s="32" t="str">
        <f>IF(PaymentSchedule43[[#This Row],[PMT NO]]&lt;&gt;"",SUM(INDEX(PaymentSchedule43[INTEREST],1,1):PaymentSchedule43[[#This Row],[INTEREST]]),"")</f>
        <v/>
      </c>
    </row>
    <row r="279" spans="2:11" x14ac:dyDescent="0.3">
      <c r="B279" s="30" t="str">
        <f>IF(LoanIsGood,IF(ROW()-ROW(PaymentSchedule43[[#Headers],[PMT NO]])&gt;ScheduledNumberOfPayments,"",ROW()-ROW(PaymentSchedule43[[#Headers],[PMT NO]])),"")</f>
        <v/>
      </c>
      <c r="C279" s="31" t="str">
        <f>IF(PaymentSchedule43[[#This Row],[PMT NO]]&lt;&gt;"",EOMONTH(LoanStartDate,ROW(PaymentSchedule43[[#This Row],[PMT NO]])-ROW(PaymentSchedule43[[#Headers],[PMT NO]])-2)+DAY(LoanStartDate),"")</f>
        <v/>
      </c>
      <c r="D27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79" s="32" t="str">
        <f>IF(PaymentSchedule43[[#This Row],[PMT NO]]&lt;&gt;"",ScheduledPayment,"")</f>
        <v/>
      </c>
      <c r="F27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7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79" s="32" t="str">
        <f>IF(PaymentSchedule43[[#This Row],[PMT NO]]&lt;&gt;"",PaymentSchedule43[[#This Row],[TOTAL PAYMENT]]-PaymentSchedule43[[#This Row],[INTEREST]],"")</f>
        <v/>
      </c>
      <c r="I279" s="32" t="str">
        <f>IF(PaymentSchedule43[[#This Row],[PMT NO]]&lt;&gt;"",PaymentSchedule43[[#This Row],[BEGINNING BALANCE]]*(InterestRate/PaymentsPerYear),"")</f>
        <v/>
      </c>
      <c r="J27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79" s="32" t="str">
        <f>IF(PaymentSchedule43[[#This Row],[PMT NO]]&lt;&gt;"",SUM(INDEX(PaymentSchedule43[INTEREST],1,1):PaymentSchedule43[[#This Row],[INTEREST]]),"")</f>
        <v/>
      </c>
    </row>
    <row r="280" spans="2:11" x14ac:dyDescent="0.3">
      <c r="B280" s="30" t="str">
        <f>IF(LoanIsGood,IF(ROW()-ROW(PaymentSchedule43[[#Headers],[PMT NO]])&gt;ScheduledNumberOfPayments,"",ROW()-ROW(PaymentSchedule43[[#Headers],[PMT NO]])),"")</f>
        <v/>
      </c>
      <c r="C280" s="31" t="str">
        <f>IF(PaymentSchedule43[[#This Row],[PMT NO]]&lt;&gt;"",EOMONTH(LoanStartDate,ROW(PaymentSchedule43[[#This Row],[PMT NO]])-ROW(PaymentSchedule43[[#Headers],[PMT NO]])-2)+DAY(LoanStartDate),"")</f>
        <v/>
      </c>
      <c r="D28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80" s="32" t="str">
        <f>IF(PaymentSchedule43[[#This Row],[PMT NO]]&lt;&gt;"",ScheduledPayment,"")</f>
        <v/>
      </c>
      <c r="F28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8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80" s="32" t="str">
        <f>IF(PaymentSchedule43[[#This Row],[PMT NO]]&lt;&gt;"",PaymentSchedule43[[#This Row],[TOTAL PAYMENT]]-PaymentSchedule43[[#This Row],[INTEREST]],"")</f>
        <v/>
      </c>
      <c r="I280" s="32" t="str">
        <f>IF(PaymentSchedule43[[#This Row],[PMT NO]]&lt;&gt;"",PaymentSchedule43[[#This Row],[BEGINNING BALANCE]]*(InterestRate/PaymentsPerYear),"")</f>
        <v/>
      </c>
      <c r="J28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80" s="32" t="str">
        <f>IF(PaymentSchedule43[[#This Row],[PMT NO]]&lt;&gt;"",SUM(INDEX(PaymentSchedule43[INTEREST],1,1):PaymentSchedule43[[#This Row],[INTEREST]]),"")</f>
        <v/>
      </c>
    </row>
    <row r="281" spans="2:11" x14ac:dyDescent="0.3">
      <c r="B281" s="30" t="str">
        <f>IF(LoanIsGood,IF(ROW()-ROW(PaymentSchedule43[[#Headers],[PMT NO]])&gt;ScheduledNumberOfPayments,"",ROW()-ROW(PaymentSchedule43[[#Headers],[PMT NO]])),"")</f>
        <v/>
      </c>
      <c r="C281" s="31" t="str">
        <f>IF(PaymentSchedule43[[#This Row],[PMT NO]]&lt;&gt;"",EOMONTH(LoanStartDate,ROW(PaymentSchedule43[[#This Row],[PMT NO]])-ROW(PaymentSchedule43[[#Headers],[PMT NO]])-2)+DAY(LoanStartDate),"")</f>
        <v/>
      </c>
      <c r="D28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81" s="32" t="str">
        <f>IF(PaymentSchedule43[[#This Row],[PMT NO]]&lt;&gt;"",ScheduledPayment,"")</f>
        <v/>
      </c>
      <c r="F28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8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81" s="32" t="str">
        <f>IF(PaymentSchedule43[[#This Row],[PMT NO]]&lt;&gt;"",PaymentSchedule43[[#This Row],[TOTAL PAYMENT]]-PaymentSchedule43[[#This Row],[INTEREST]],"")</f>
        <v/>
      </c>
      <c r="I281" s="32" t="str">
        <f>IF(PaymentSchedule43[[#This Row],[PMT NO]]&lt;&gt;"",PaymentSchedule43[[#This Row],[BEGINNING BALANCE]]*(InterestRate/PaymentsPerYear),"")</f>
        <v/>
      </c>
      <c r="J28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81" s="32" t="str">
        <f>IF(PaymentSchedule43[[#This Row],[PMT NO]]&lt;&gt;"",SUM(INDEX(PaymentSchedule43[INTEREST],1,1):PaymentSchedule43[[#This Row],[INTEREST]]),"")</f>
        <v/>
      </c>
    </row>
    <row r="282" spans="2:11" x14ac:dyDescent="0.3">
      <c r="B282" s="30" t="str">
        <f>IF(LoanIsGood,IF(ROW()-ROW(PaymentSchedule43[[#Headers],[PMT NO]])&gt;ScheduledNumberOfPayments,"",ROW()-ROW(PaymentSchedule43[[#Headers],[PMT NO]])),"")</f>
        <v/>
      </c>
      <c r="C282" s="31" t="str">
        <f>IF(PaymentSchedule43[[#This Row],[PMT NO]]&lt;&gt;"",EOMONTH(LoanStartDate,ROW(PaymentSchedule43[[#This Row],[PMT NO]])-ROW(PaymentSchedule43[[#Headers],[PMT NO]])-2)+DAY(LoanStartDate),"")</f>
        <v/>
      </c>
      <c r="D28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82" s="32" t="str">
        <f>IF(PaymentSchedule43[[#This Row],[PMT NO]]&lt;&gt;"",ScheduledPayment,"")</f>
        <v/>
      </c>
      <c r="F28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8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82" s="32" t="str">
        <f>IF(PaymentSchedule43[[#This Row],[PMT NO]]&lt;&gt;"",PaymentSchedule43[[#This Row],[TOTAL PAYMENT]]-PaymentSchedule43[[#This Row],[INTEREST]],"")</f>
        <v/>
      </c>
      <c r="I282" s="32" t="str">
        <f>IF(PaymentSchedule43[[#This Row],[PMT NO]]&lt;&gt;"",PaymentSchedule43[[#This Row],[BEGINNING BALANCE]]*(InterestRate/PaymentsPerYear),"")</f>
        <v/>
      </c>
      <c r="J28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82" s="32" t="str">
        <f>IF(PaymentSchedule43[[#This Row],[PMT NO]]&lt;&gt;"",SUM(INDEX(PaymentSchedule43[INTEREST],1,1):PaymentSchedule43[[#This Row],[INTEREST]]),"")</f>
        <v/>
      </c>
    </row>
    <row r="283" spans="2:11" x14ac:dyDescent="0.3">
      <c r="B283" s="30" t="str">
        <f>IF(LoanIsGood,IF(ROW()-ROW(PaymentSchedule43[[#Headers],[PMT NO]])&gt;ScheduledNumberOfPayments,"",ROW()-ROW(PaymentSchedule43[[#Headers],[PMT NO]])),"")</f>
        <v/>
      </c>
      <c r="C283" s="31" t="str">
        <f>IF(PaymentSchedule43[[#This Row],[PMT NO]]&lt;&gt;"",EOMONTH(LoanStartDate,ROW(PaymentSchedule43[[#This Row],[PMT NO]])-ROW(PaymentSchedule43[[#Headers],[PMT NO]])-2)+DAY(LoanStartDate),"")</f>
        <v/>
      </c>
      <c r="D28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83" s="32" t="str">
        <f>IF(PaymentSchedule43[[#This Row],[PMT NO]]&lt;&gt;"",ScheduledPayment,"")</f>
        <v/>
      </c>
      <c r="F28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8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83" s="32" t="str">
        <f>IF(PaymentSchedule43[[#This Row],[PMT NO]]&lt;&gt;"",PaymentSchedule43[[#This Row],[TOTAL PAYMENT]]-PaymentSchedule43[[#This Row],[INTEREST]],"")</f>
        <v/>
      </c>
      <c r="I283" s="32" t="str">
        <f>IF(PaymentSchedule43[[#This Row],[PMT NO]]&lt;&gt;"",PaymentSchedule43[[#This Row],[BEGINNING BALANCE]]*(InterestRate/PaymentsPerYear),"")</f>
        <v/>
      </c>
      <c r="J28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83" s="32" t="str">
        <f>IF(PaymentSchedule43[[#This Row],[PMT NO]]&lt;&gt;"",SUM(INDEX(PaymentSchedule43[INTEREST],1,1):PaymentSchedule43[[#This Row],[INTEREST]]),"")</f>
        <v/>
      </c>
    </row>
    <row r="284" spans="2:11" x14ac:dyDescent="0.3">
      <c r="B284" s="30" t="str">
        <f>IF(LoanIsGood,IF(ROW()-ROW(PaymentSchedule43[[#Headers],[PMT NO]])&gt;ScheduledNumberOfPayments,"",ROW()-ROW(PaymentSchedule43[[#Headers],[PMT NO]])),"")</f>
        <v/>
      </c>
      <c r="C284" s="31" t="str">
        <f>IF(PaymentSchedule43[[#This Row],[PMT NO]]&lt;&gt;"",EOMONTH(LoanStartDate,ROW(PaymentSchedule43[[#This Row],[PMT NO]])-ROW(PaymentSchedule43[[#Headers],[PMT NO]])-2)+DAY(LoanStartDate),"")</f>
        <v/>
      </c>
      <c r="D28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84" s="32" t="str">
        <f>IF(PaymentSchedule43[[#This Row],[PMT NO]]&lt;&gt;"",ScheduledPayment,"")</f>
        <v/>
      </c>
      <c r="F28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8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84" s="32" t="str">
        <f>IF(PaymentSchedule43[[#This Row],[PMT NO]]&lt;&gt;"",PaymentSchedule43[[#This Row],[TOTAL PAYMENT]]-PaymentSchedule43[[#This Row],[INTEREST]],"")</f>
        <v/>
      </c>
      <c r="I284" s="32" t="str">
        <f>IF(PaymentSchedule43[[#This Row],[PMT NO]]&lt;&gt;"",PaymentSchedule43[[#This Row],[BEGINNING BALANCE]]*(InterestRate/PaymentsPerYear),"")</f>
        <v/>
      </c>
      <c r="J28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84" s="32" t="str">
        <f>IF(PaymentSchedule43[[#This Row],[PMT NO]]&lt;&gt;"",SUM(INDEX(PaymentSchedule43[INTEREST],1,1):PaymentSchedule43[[#This Row],[INTEREST]]),"")</f>
        <v/>
      </c>
    </row>
    <row r="285" spans="2:11" x14ac:dyDescent="0.3">
      <c r="B285" s="30" t="str">
        <f>IF(LoanIsGood,IF(ROW()-ROW(PaymentSchedule43[[#Headers],[PMT NO]])&gt;ScheduledNumberOfPayments,"",ROW()-ROW(PaymentSchedule43[[#Headers],[PMT NO]])),"")</f>
        <v/>
      </c>
      <c r="C285" s="31" t="str">
        <f>IF(PaymentSchedule43[[#This Row],[PMT NO]]&lt;&gt;"",EOMONTH(LoanStartDate,ROW(PaymentSchedule43[[#This Row],[PMT NO]])-ROW(PaymentSchedule43[[#Headers],[PMT NO]])-2)+DAY(LoanStartDate),"")</f>
        <v/>
      </c>
      <c r="D28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85" s="32" t="str">
        <f>IF(PaymentSchedule43[[#This Row],[PMT NO]]&lt;&gt;"",ScheduledPayment,"")</f>
        <v/>
      </c>
      <c r="F28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8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85" s="32" t="str">
        <f>IF(PaymentSchedule43[[#This Row],[PMT NO]]&lt;&gt;"",PaymentSchedule43[[#This Row],[TOTAL PAYMENT]]-PaymentSchedule43[[#This Row],[INTEREST]],"")</f>
        <v/>
      </c>
      <c r="I285" s="32" t="str">
        <f>IF(PaymentSchedule43[[#This Row],[PMT NO]]&lt;&gt;"",PaymentSchedule43[[#This Row],[BEGINNING BALANCE]]*(InterestRate/PaymentsPerYear),"")</f>
        <v/>
      </c>
      <c r="J28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85" s="32" t="str">
        <f>IF(PaymentSchedule43[[#This Row],[PMT NO]]&lt;&gt;"",SUM(INDEX(PaymentSchedule43[INTEREST],1,1):PaymentSchedule43[[#This Row],[INTEREST]]),"")</f>
        <v/>
      </c>
    </row>
    <row r="286" spans="2:11" x14ac:dyDescent="0.3">
      <c r="B286" s="30" t="str">
        <f>IF(LoanIsGood,IF(ROW()-ROW(PaymentSchedule43[[#Headers],[PMT NO]])&gt;ScheduledNumberOfPayments,"",ROW()-ROW(PaymentSchedule43[[#Headers],[PMT NO]])),"")</f>
        <v/>
      </c>
      <c r="C286" s="31" t="str">
        <f>IF(PaymentSchedule43[[#This Row],[PMT NO]]&lt;&gt;"",EOMONTH(LoanStartDate,ROW(PaymentSchedule43[[#This Row],[PMT NO]])-ROW(PaymentSchedule43[[#Headers],[PMT NO]])-2)+DAY(LoanStartDate),"")</f>
        <v/>
      </c>
      <c r="D28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86" s="32" t="str">
        <f>IF(PaymentSchedule43[[#This Row],[PMT NO]]&lt;&gt;"",ScheduledPayment,"")</f>
        <v/>
      </c>
      <c r="F28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8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86" s="32" t="str">
        <f>IF(PaymentSchedule43[[#This Row],[PMT NO]]&lt;&gt;"",PaymentSchedule43[[#This Row],[TOTAL PAYMENT]]-PaymentSchedule43[[#This Row],[INTEREST]],"")</f>
        <v/>
      </c>
      <c r="I286" s="32" t="str">
        <f>IF(PaymentSchedule43[[#This Row],[PMT NO]]&lt;&gt;"",PaymentSchedule43[[#This Row],[BEGINNING BALANCE]]*(InterestRate/PaymentsPerYear),"")</f>
        <v/>
      </c>
      <c r="J28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86" s="32" t="str">
        <f>IF(PaymentSchedule43[[#This Row],[PMT NO]]&lt;&gt;"",SUM(INDEX(PaymentSchedule43[INTEREST],1,1):PaymentSchedule43[[#This Row],[INTEREST]]),"")</f>
        <v/>
      </c>
    </row>
    <row r="287" spans="2:11" x14ac:dyDescent="0.3">
      <c r="B287" s="30" t="str">
        <f>IF(LoanIsGood,IF(ROW()-ROW(PaymentSchedule43[[#Headers],[PMT NO]])&gt;ScheduledNumberOfPayments,"",ROW()-ROW(PaymentSchedule43[[#Headers],[PMT NO]])),"")</f>
        <v/>
      </c>
      <c r="C287" s="31" t="str">
        <f>IF(PaymentSchedule43[[#This Row],[PMT NO]]&lt;&gt;"",EOMONTH(LoanStartDate,ROW(PaymentSchedule43[[#This Row],[PMT NO]])-ROW(PaymentSchedule43[[#Headers],[PMT NO]])-2)+DAY(LoanStartDate),"")</f>
        <v/>
      </c>
      <c r="D28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87" s="32" t="str">
        <f>IF(PaymentSchedule43[[#This Row],[PMT NO]]&lt;&gt;"",ScheduledPayment,"")</f>
        <v/>
      </c>
      <c r="F28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8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87" s="32" t="str">
        <f>IF(PaymentSchedule43[[#This Row],[PMT NO]]&lt;&gt;"",PaymentSchedule43[[#This Row],[TOTAL PAYMENT]]-PaymentSchedule43[[#This Row],[INTEREST]],"")</f>
        <v/>
      </c>
      <c r="I287" s="32" t="str">
        <f>IF(PaymentSchedule43[[#This Row],[PMT NO]]&lt;&gt;"",PaymentSchedule43[[#This Row],[BEGINNING BALANCE]]*(InterestRate/PaymentsPerYear),"")</f>
        <v/>
      </c>
      <c r="J28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87" s="32" t="str">
        <f>IF(PaymentSchedule43[[#This Row],[PMT NO]]&lt;&gt;"",SUM(INDEX(PaymentSchedule43[INTEREST],1,1):PaymentSchedule43[[#This Row],[INTEREST]]),"")</f>
        <v/>
      </c>
    </row>
    <row r="288" spans="2:11" x14ac:dyDescent="0.3">
      <c r="B288" s="30" t="str">
        <f>IF(LoanIsGood,IF(ROW()-ROW(PaymentSchedule43[[#Headers],[PMT NO]])&gt;ScheduledNumberOfPayments,"",ROW()-ROW(PaymentSchedule43[[#Headers],[PMT NO]])),"")</f>
        <v/>
      </c>
      <c r="C288" s="31" t="str">
        <f>IF(PaymentSchedule43[[#This Row],[PMT NO]]&lt;&gt;"",EOMONTH(LoanStartDate,ROW(PaymentSchedule43[[#This Row],[PMT NO]])-ROW(PaymentSchedule43[[#Headers],[PMT NO]])-2)+DAY(LoanStartDate),"")</f>
        <v/>
      </c>
      <c r="D28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88" s="32" t="str">
        <f>IF(PaymentSchedule43[[#This Row],[PMT NO]]&lt;&gt;"",ScheduledPayment,"")</f>
        <v/>
      </c>
      <c r="F28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8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88" s="32" t="str">
        <f>IF(PaymentSchedule43[[#This Row],[PMT NO]]&lt;&gt;"",PaymentSchedule43[[#This Row],[TOTAL PAYMENT]]-PaymentSchedule43[[#This Row],[INTEREST]],"")</f>
        <v/>
      </c>
      <c r="I288" s="32" t="str">
        <f>IF(PaymentSchedule43[[#This Row],[PMT NO]]&lt;&gt;"",PaymentSchedule43[[#This Row],[BEGINNING BALANCE]]*(InterestRate/PaymentsPerYear),"")</f>
        <v/>
      </c>
      <c r="J28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88" s="32" t="str">
        <f>IF(PaymentSchedule43[[#This Row],[PMT NO]]&lt;&gt;"",SUM(INDEX(PaymentSchedule43[INTEREST],1,1):PaymentSchedule43[[#This Row],[INTEREST]]),"")</f>
        <v/>
      </c>
    </row>
    <row r="289" spans="2:11" x14ac:dyDescent="0.3">
      <c r="B289" s="30" t="str">
        <f>IF(LoanIsGood,IF(ROW()-ROW(PaymentSchedule43[[#Headers],[PMT NO]])&gt;ScheduledNumberOfPayments,"",ROW()-ROW(PaymentSchedule43[[#Headers],[PMT NO]])),"")</f>
        <v/>
      </c>
      <c r="C289" s="31" t="str">
        <f>IF(PaymentSchedule43[[#This Row],[PMT NO]]&lt;&gt;"",EOMONTH(LoanStartDate,ROW(PaymentSchedule43[[#This Row],[PMT NO]])-ROW(PaymentSchedule43[[#Headers],[PMT NO]])-2)+DAY(LoanStartDate),"")</f>
        <v/>
      </c>
      <c r="D28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89" s="32" t="str">
        <f>IF(PaymentSchedule43[[#This Row],[PMT NO]]&lt;&gt;"",ScheduledPayment,"")</f>
        <v/>
      </c>
      <c r="F28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8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89" s="32" t="str">
        <f>IF(PaymentSchedule43[[#This Row],[PMT NO]]&lt;&gt;"",PaymentSchedule43[[#This Row],[TOTAL PAYMENT]]-PaymentSchedule43[[#This Row],[INTEREST]],"")</f>
        <v/>
      </c>
      <c r="I289" s="32" t="str">
        <f>IF(PaymentSchedule43[[#This Row],[PMT NO]]&lt;&gt;"",PaymentSchedule43[[#This Row],[BEGINNING BALANCE]]*(InterestRate/PaymentsPerYear),"")</f>
        <v/>
      </c>
      <c r="J28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89" s="32" t="str">
        <f>IF(PaymentSchedule43[[#This Row],[PMT NO]]&lt;&gt;"",SUM(INDEX(PaymentSchedule43[INTEREST],1,1):PaymentSchedule43[[#This Row],[INTEREST]]),"")</f>
        <v/>
      </c>
    </row>
    <row r="290" spans="2:11" x14ac:dyDescent="0.3">
      <c r="B290" s="30" t="str">
        <f>IF(LoanIsGood,IF(ROW()-ROW(PaymentSchedule43[[#Headers],[PMT NO]])&gt;ScheduledNumberOfPayments,"",ROW()-ROW(PaymentSchedule43[[#Headers],[PMT NO]])),"")</f>
        <v/>
      </c>
      <c r="C290" s="31" t="str">
        <f>IF(PaymentSchedule43[[#This Row],[PMT NO]]&lt;&gt;"",EOMONTH(LoanStartDate,ROW(PaymentSchedule43[[#This Row],[PMT NO]])-ROW(PaymentSchedule43[[#Headers],[PMT NO]])-2)+DAY(LoanStartDate),"")</f>
        <v/>
      </c>
      <c r="D29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90" s="32" t="str">
        <f>IF(PaymentSchedule43[[#This Row],[PMT NO]]&lt;&gt;"",ScheduledPayment,"")</f>
        <v/>
      </c>
      <c r="F29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9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90" s="32" t="str">
        <f>IF(PaymentSchedule43[[#This Row],[PMT NO]]&lt;&gt;"",PaymentSchedule43[[#This Row],[TOTAL PAYMENT]]-PaymentSchedule43[[#This Row],[INTEREST]],"")</f>
        <v/>
      </c>
      <c r="I290" s="32" t="str">
        <f>IF(PaymentSchedule43[[#This Row],[PMT NO]]&lt;&gt;"",PaymentSchedule43[[#This Row],[BEGINNING BALANCE]]*(InterestRate/PaymentsPerYear),"")</f>
        <v/>
      </c>
      <c r="J29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90" s="32" t="str">
        <f>IF(PaymentSchedule43[[#This Row],[PMT NO]]&lt;&gt;"",SUM(INDEX(PaymentSchedule43[INTEREST],1,1):PaymentSchedule43[[#This Row],[INTEREST]]),"")</f>
        <v/>
      </c>
    </row>
    <row r="291" spans="2:11" x14ac:dyDescent="0.3">
      <c r="B291" s="30" t="str">
        <f>IF(LoanIsGood,IF(ROW()-ROW(PaymentSchedule43[[#Headers],[PMT NO]])&gt;ScheduledNumberOfPayments,"",ROW()-ROW(PaymentSchedule43[[#Headers],[PMT NO]])),"")</f>
        <v/>
      </c>
      <c r="C291" s="31" t="str">
        <f>IF(PaymentSchedule43[[#This Row],[PMT NO]]&lt;&gt;"",EOMONTH(LoanStartDate,ROW(PaymentSchedule43[[#This Row],[PMT NO]])-ROW(PaymentSchedule43[[#Headers],[PMT NO]])-2)+DAY(LoanStartDate),"")</f>
        <v/>
      </c>
      <c r="D29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91" s="32" t="str">
        <f>IF(PaymentSchedule43[[#This Row],[PMT NO]]&lt;&gt;"",ScheduledPayment,"")</f>
        <v/>
      </c>
      <c r="F29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9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91" s="32" t="str">
        <f>IF(PaymentSchedule43[[#This Row],[PMT NO]]&lt;&gt;"",PaymentSchedule43[[#This Row],[TOTAL PAYMENT]]-PaymentSchedule43[[#This Row],[INTEREST]],"")</f>
        <v/>
      </c>
      <c r="I291" s="32" t="str">
        <f>IF(PaymentSchedule43[[#This Row],[PMT NO]]&lt;&gt;"",PaymentSchedule43[[#This Row],[BEGINNING BALANCE]]*(InterestRate/PaymentsPerYear),"")</f>
        <v/>
      </c>
      <c r="J29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91" s="32" t="str">
        <f>IF(PaymentSchedule43[[#This Row],[PMT NO]]&lt;&gt;"",SUM(INDEX(PaymentSchedule43[INTEREST],1,1):PaymentSchedule43[[#This Row],[INTEREST]]),"")</f>
        <v/>
      </c>
    </row>
    <row r="292" spans="2:11" x14ac:dyDescent="0.3">
      <c r="B292" s="30" t="str">
        <f>IF(LoanIsGood,IF(ROW()-ROW(PaymentSchedule43[[#Headers],[PMT NO]])&gt;ScheduledNumberOfPayments,"",ROW()-ROW(PaymentSchedule43[[#Headers],[PMT NO]])),"")</f>
        <v/>
      </c>
      <c r="C292" s="31" t="str">
        <f>IF(PaymentSchedule43[[#This Row],[PMT NO]]&lt;&gt;"",EOMONTH(LoanStartDate,ROW(PaymentSchedule43[[#This Row],[PMT NO]])-ROW(PaymentSchedule43[[#Headers],[PMT NO]])-2)+DAY(LoanStartDate),"")</f>
        <v/>
      </c>
      <c r="D29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92" s="32" t="str">
        <f>IF(PaymentSchedule43[[#This Row],[PMT NO]]&lt;&gt;"",ScheduledPayment,"")</f>
        <v/>
      </c>
      <c r="F29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9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92" s="32" t="str">
        <f>IF(PaymentSchedule43[[#This Row],[PMT NO]]&lt;&gt;"",PaymentSchedule43[[#This Row],[TOTAL PAYMENT]]-PaymentSchedule43[[#This Row],[INTEREST]],"")</f>
        <v/>
      </c>
      <c r="I292" s="32" t="str">
        <f>IF(PaymentSchedule43[[#This Row],[PMT NO]]&lt;&gt;"",PaymentSchedule43[[#This Row],[BEGINNING BALANCE]]*(InterestRate/PaymentsPerYear),"")</f>
        <v/>
      </c>
      <c r="J29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92" s="32" t="str">
        <f>IF(PaymentSchedule43[[#This Row],[PMT NO]]&lt;&gt;"",SUM(INDEX(PaymentSchedule43[INTEREST],1,1):PaymentSchedule43[[#This Row],[INTEREST]]),"")</f>
        <v/>
      </c>
    </row>
    <row r="293" spans="2:11" x14ac:dyDescent="0.3">
      <c r="B293" s="30" t="str">
        <f>IF(LoanIsGood,IF(ROW()-ROW(PaymentSchedule43[[#Headers],[PMT NO]])&gt;ScheduledNumberOfPayments,"",ROW()-ROW(PaymentSchedule43[[#Headers],[PMT NO]])),"")</f>
        <v/>
      </c>
      <c r="C293" s="31" t="str">
        <f>IF(PaymentSchedule43[[#This Row],[PMT NO]]&lt;&gt;"",EOMONTH(LoanStartDate,ROW(PaymentSchedule43[[#This Row],[PMT NO]])-ROW(PaymentSchedule43[[#Headers],[PMT NO]])-2)+DAY(LoanStartDate),"")</f>
        <v/>
      </c>
      <c r="D29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93" s="32" t="str">
        <f>IF(PaymentSchedule43[[#This Row],[PMT NO]]&lt;&gt;"",ScheduledPayment,"")</f>
        <v/>
      </c>
      <c r="F29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9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93" s="32" t="str">
        <f>IF(PaymentSchedule43[[#This Row],[PMT NO]]&lt;&gt;"",PaymentSchedule43[[#This Row],[TOTAL PAYMENT]]-PaymentSchedule43[[#This Row],[INTEREST]],"")</f>
        <v/>
      </c>
      <c r="I293" s="32" t="str">
        <f>IF(PaymentSchedule43[[#This Row],[PMT NO]]&lt;&gt;"",PaymentSchedule43[[#This Row],[BEGINNING BALANCE]]*(InterestRate/PaymentsPerYear),"")</f>
        <v/>
      </c>
      <c r="J29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93" s="32" t="str">
        <f>IF(PaymentSchedule43[[#This Row],[PMT NO]]&lt;&gt;"",SUM(INDEX(PaymentSchedule43[INTEREST],1,1):PaymentSchedule43[[#This Row],[INTEREST]]),"")</f>
        <v/>
      </c>
    </row>
    <row r="294" spans="2:11" x14ac:dyDescent="0.3">
      <c r="B294" s="30" t="str">
        <f>IF(LoanIsGood,IF(ROW()-ROW(PaymentSchedule43[[#Headers],[PMT NO]])&gt;ScheduledNumberOfPayments,"",ROW()-ROW(PaymentSchedule43[[#Headers],[PMT NO]])),"")</f>
        <v/>
      </c>
      <c r="C294" s="31" t="str">
        <f>IF(PaymentSchedule43[[#This Row],[PMT NO]]&lt;&gt;"",EOMONTH(LoanStartDate,ROW(PaymentSchedule43[[#This Row],[PMT NO]])-ROW(PaymentSchedule43[[#Headers],[PMT NO]])-2)+DAY(LoanStartDate),"")</f>
        <v/>
      </c>
      <c r="D29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94" s="32" t="str">
        <f>IF(PaymentSchedule43[[#This Row],[PMT NO]]&lt;&gt;"",ScheduledPayment,"")</f>
        <v/>
      </c>
      <c r="F29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9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94" s="32" t="str">
        <f>IF(PaymentSchedule43[[#This Row],[PMT NO]]&lt;&gt;"",PaymentSchedule43[[#This Row],[TOTAL PAYMENT]]-PaymentSchedule43[[#This Row],[INTEREST]],"")</f>
        <v/>
      </c>
      <c r="I294" s="32" t="str">
        <f>IF(PaymentSchedule43[[#This Row],[PMT NO]]&lt;&gt;"",PaymentSchedule43[[#This Row],[BEGINNING BALANCE]]*(InterestRate/PaymentsPerYear),"")</f>
        <v/>
      </c>
      <c r="J29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94" s="32" t="str">
        <f>IF(PaymentSchedule43[[#This Row],[PMT NO]]&lt;&gt;"",SUM(INDEX(PaymentSchedule43[INTEREST],1,1):PaymentSchedule43[[#This Row],[INTEREST]]),"")</f>
        <v/>
      </c>
    </row>
    <row r="295" spans="2:11" x14ac:dyDescent="0.3">
      <c r="B295" s="30" t="str">
        <f>IF(LoanIsGood,IF(ROW()-ROW(PaymentSchedule43[[#Headers],[PMT NO]])&gt;ScheduledNumberOfPayments,"",ROW()-ROW(PaymentSchedule43[[#Headers],[PMT NO]])),"")</f>
        <v/>
      </c>
      <c r="C295" s="31" t="str">
        <f>IF(PaymentSchedule43[[#This Row],[PMT NO]]&lt;&gt;"",EOMONTH(LoanStartDate,ROW(PaymentSchedule43[[#This Row],[PMT NO]])-ROW(PaymentSchedule43[[#Headers],[PMT NO]])-2)+DAY(LoanStartDate),"")</f>
        <v/>
      </c>
      <c r="D29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95" s="32" t="str">
        <f>IF(PaymentSchedule43[[#This Row],[PMT NO]]&lt;&gt;"",ScheduledPayment,"")</f>
        <v/>
      </c>
      <c r="F29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9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95" s="32" t="str">
        <f>IF(PaymentSchedule43[[#This Row],[PMT NO]]&lt;&gt;"",PaymentSchedule43[[#This Row],[TOTAL PAYMENT]]-PaymentSchedule43[[#This Row],[INTEREST]],"")</f>
        <v/>
      </c>
      <c r="I295" s="32" t="str">
        <f>IF(PaymentSchedule43[[#This Row],[PMT NO]]&lt;&gt;"",PaymentSchedule43[[#This Row],[BEGINNING BALANCE]]*(InterestRate/PaymentsPerYear),"")</f>
        <v/>
      </c>
      <c r="J29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95" s="32" t="str">
        <f>IF(PaymentSchedule43[[#This Row],[PMT NO]]&lt;&gt;"",SUM(INDEX(PaymentSchedule43[INTEREST],1,1):PaymentSchedule43[[#This Row],[INTEREST]]),"")</f>
        <v/>
      </c>
    </row>
    <row r="296" spans="2:11" x14ac:dyDescent="0.3">
      <c r="B296" s="30" t="str">
        <f>IF(LoanIsGood,IF(ROW()-ROW(PaymentSchedule43[[#Headers],[PMT NO]])&gt;ScheduledNumberOfPayments,"",ROW()-ROW(PaymentSchedule43[[#Headers],[PMT NO]])),"")</f>
        <v/>
      </c>
      <c r="C296" s="31" t="str">
        <f>IF(PaymentSchedule43[[#This Row],[PMT NO]]&lt;&gt;"",EOMONTH(LoanStartDate,ROW(PaymentSchedule43[[#This Row],[PMT NO]])-ROW(PaymentSchedule43[[#Headers],[PMT NO]])-2)+DAY(LoanStartDate),"")</f>
        <v/>
      </c>
      <c r="D29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96" s="32" t="str">
        <f>IF(PaymentSchedule43[[#This Row],[PMT NO]]&lt;&gt;"",ScheduledPayment,"")</f>
        <v/>
      </c>
      <c r="F29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9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96" s="32" t="str">
        <f>IF(PaymentSchedule43[[#This Row],[PMT NO]]&lt;&gt;"",PaymentSchedule43[[#This Row],[TOTAL PAYMENT]]-PaymentSchedule43[[#This Row],[INTEREST]],"")</f>
        <v/>
      </c>
      <c r="I296" s="32" t="str">
        <f>IF(PaymentSchedule43[[#This Row],[PMT NO]]&lt;&gt;"",PaymentSchedule43[[#This Row],[BEGINNING BALANCE]]*(InterestRate/PaymentsPerYear),"")</f>
        <v/>
      </c>
      <c r="J29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96" s="32" t="str">
        <f>IF(PaymentSchedule43[[#This Row],[PMT NO]]&lt;&gt;"",SUM(INDEX(PaymentSchedule43[INTEREST],1,1):PaymentSchedule43[[#This Row],[INTEREST]]),"")</f>
        <v/>
      </c>
    </row>
    <row r="297" spans="2:11" x14ac:dyDescent="0.3">
      <c r="B297" s="30" t="str">
        <f>IF(LoanIsGood,IF(ROW()-ROW(PaymentSchedule43[[#Headers],[PMT NO]])&gt;ScheduledNumberOfPayments,"",ROW()-ROW(PaymentSchedule43[[#Headers],[PMT NO]])),"")</f>
        <v/>
      </c>
      <c r="C297" s="31" t="str">
        <f>IF(PaymentSchedule43[[#This Row],[PMT NO]]&lt;&gt;"",EOMONTH(LoanStartDate,ROW(PaymentSchedule43[[#This Row],[PMT NO]])-ROW(PaymentSchedule43[[#Headers],[PMT NO]])-2)+DAY(LoanStartDate),"")</f>
        <v/>
      </c>
      <c r="D29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97" s="32" t="str">
        <f>IF(PaymentSchedule43[[#This Row],[PMT NO]]&lt;&gt;"",ScheduledPayment,"")</f>
        <v/>
      </c>
      <c r="F29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9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97" s="32" t="str">
        <f>IF(PaymentSchedule43[[#This Row],[PMT NO]]&lt;&gt;"",PaymentSchedule43[[#This Row],[TOTAL PAYMENT]]-PaymentSchedule43[[#This Row],[INTEREST]],"")</f>
        <v/>
      </c>
      <c r="I297" s="32" t="str">
        <f>IF(PaymentSchedule43[[#This Row],[PMT NO]]&lt;&gt;"",PaymentSchedule43[[#This Row],[BEGINNING BALANCE]]*(InterestRate/PaymentsPerYear),"")</f>
        <v/>
      </c>
      <c r="J29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97" s="32" t="str">
        <f>IF(PaymentSchedule43[[#This Row],[PMT NO]]&lt;&gt;"",SUM(INDEX(PaymentSchedule43[INTEREST],1,1):PaymentSchedule43[[#This Row],[INTEREST]]),"")</f>
        <v/>
      </c>
    </row>
    <row r="298" spans="2:11" x14ac:dyDescent="0.3">
      <c r="B298" s="30" t="str">
        <f>IF(LoanIsGood,IF(ROW()-ROW(PaymentSchedule43[[#Headers],[PMT NO]])&gt;ScheduledNumberOfPayments,"",ROW()-ROW(PaymentSchedule43[[#Headers],[PMT NO]])),"")</f>
        <v/>
      </c>
      <c r="C298" s="31" t="str">
        <f>IF(PaymentSchedule43[[#This Row],[PMT NO]]&lt;&gt;"",EOMONTH(LoanStartDate,ROW(PaymentSchedule43[[#This Row],[PMT NO]])-ROW(PaymentSchedule43[[#Headers],[PMT NO]])-2)+DAY(LoanStartDate),"")</f>
        <v/>
      </c>
      <c r="D29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98" s="32" t="str">
        <f>IF(PaymentSchedule43[[#This Row],[PMT NO]]&lt;&gt;"",ScheduledPayment,"")</f>
        <v/>
      </c>
      <c r="F29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9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98" s="32" t="str">
        <f>IF(PaymentSchedule43[[#This Row],[PMT NO]]&lt;&gt;"",PaymentSchedule43[[#This Row],[TOTAL PAYMENT]]-PaymentSchedule43[[#This Row],[INTEREST]],"")</f>
        <v/>
      </c>
      <c r="I298" s="32" t="str">
        <f>IF(PaymentSchedule43[[#This Row],[PMT NO]]&lt;&gt;"",PaymentSchedule43[[#This Row],[BEGINNING BALANCE]]*(InterestRate/PaymentsPerYear),"")</f>
        <v/>
      </c>
      <c r="J29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98" s="32" t="str">
        <f>IF(PaymentSchedule43[[#This Row],[PMT NO]]&lt;&gt;"",SUM(INDEX(PaymentSchedule43[INTEREST],1,1):PaymentSchedule43[[#This Row],[INTEREST]]),"")</f>
        <v/>
      </c>
    </row>
    <row r="299" spans="2:11" x14ac:dyDescent="0.3">
      <c r="B299" s="30" t="str">
        <f>IF(LoanIsGood,IF(ROW()-ROW(PaymentSchedule43[[#Headers],[PMT NO]])&gt;ScheduledNumberOfPayments,"",ROW()-ROW(PaymentSchedule43[[#Headers],[PMT NO]])),"")</f>
        <v/>
      </c>
      <c r="C299" s="31" t="str">
        <f>IF(PaymentSchedule43[[#This Row],[PMT NO]]&lt;&gt;"",EOMONTH(LoanStartDate,ROW(PaymentSchedule43[[#This Row],[PMT NO]])-ROW(PaymentSchedule43[[#Headers],[PMT NO]])-2)+DAY(LoanStartDate),"")</f>
        <v/>
      </c>
      <c r="D29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299" s="32" t="str">
        <f>IF(PaymentSchedule43[[#This Row],[PMT NO]]&lt;&gt;"",ScheduledPayment,"")</f>
        <v/>
      </c>
      <c r="F29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29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299" s="32" t="str">
        <f>IF(PaymentSchedule43[[#This Row],[PMT NO]]&lt;&gt;"",PaymentSchedule43[[#This Row],[TOTAL PAYMENT]]-PaymentSchedule43[[#This Row],[INTEREST]],"")</f>
        <v/>
      </c>
      <c r="I299" s="32" t="str">
        <f>IF(PaymentSchedule43[[#This Row],[PMT NO]]&lt;&gt;"",PaymentSchedule43[[#This Row],[BEGINNING BALANCE]]*(InterestRate/PaymentsPerYear),"")</f>
        <v/>
      </c>
      <c r="J29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299" s="32" t="str">
        <f>IF(PaymentSchedule43[[#This Row],[PMT NO]]&lt;&gt;"",SUM(INDEX(PaymentSchedule43[INTEREST],1,1):PaymentSchedule43[[#This Row],[INTEREST]]),"")</f>
        <v/>
      </c>
    </row>
    <row r="300" spans="2:11" x14ac:dyDescent="0.3">
      <c r="B300" s="30" t="str">
        <f>IF(LoanIsGood,IF(ROW()-ROW(PaymentSchedule43[[#Headers],[PMT NO]])&gt;ScheduledNumberOfPayments,"",ROW()-ROW(PaymentSchedule43[[#Headers],[PMT NO]])),"")</f>
        <v/>
      </c>
      <c r="C300" s="31" t="str">
        <f>IF(PaymentSchedule43[[#This Row],[PMT NO]]&lt;&gt;"",EOMONTH(LoanStartDate,ROW(PaymentSchedule43[[#This Row],[PMT NO]])-ROW(PaymentSchedule43[[#Headers],[PMT NO]])-2)+DAY(LoanStartDate),"")</f>
        <v/>
      </c>
      <c r="D30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00" s="32" t="str">
        <f>IF(PaymentSchedule43[[#This Row],[PMT NO]]&lt;&gt;"",ScheduledPayment,"")</f>
        <v/>
      </c>
      <c r="F30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0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00" s="32" t="str">
        <f>IF(PaymentSchedule43[[#This Row],[PMT NO]]&lt;&gt;"",PaymentSchedule43[[#This Row],[TOTAL PAYMENT]]-PaymentSchedule43[[#This Row],[INTEREST]],"")</f>
        <v/>
      </c>
      <c r="I300" s="32" t="str">
        <f>IF(PaymentSchedule43[[#This Row],[PMT NO]]&lt;&gt;"",PaymentSchedule43[[#This Row],[BEGINNING BALANCE]]*(InterestRate/PaymentsPerYear),"")</f>
        <v/>
      </c>
      <c r="J30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00" s="32" t="str">
        <f>IF(PaymentSchedule43[[#This Row],[PMT NO]]&lt;&gt;"",SUM(INDEX(PaymentSchedule43[INTEREST],1,1):PaymentSchedule43[[#This Row],[INTEREST]]),"")</f>
        <v/>
      </c>
    </row>
    <row r="301" spans="2:11" x14ac:dyDescent="0.3">
      <c r="B301" s="30" t="str">
        <f>IF(LoanIsGood,IF(ROW()-ROW(PaymentSchedule43[[#Headers],[PMT NO]])&gt;ScheduledNumberOfPayments,"",ROW()-ROW(PaymentSchedule43[[#Headers],[PMT NO]])),"")</f>
        <v/>
      </c>
      <c r="C301" s="31" t="str">
        <f>IF(PaymentSchedule43[[#This Row],[PMT NO]]&lt;&gt;"",EOMONTH(LoanStartDate,ROW(PaymentSchedule43[[#This Row],[PMT NO]])-ROW(PaymentSchedule43[[#Headers],[PMT NO]])-2)+DAY(LoanStartDate),"")</f>
        <v/>
      </c>
      <c r="D30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01" s="32" t="str">
        <f>IF(PaymentSchedule43[[#This Row],[PMT NO]]&lt;&gt;"",ScheduledPayment,"")</f>
        <v/>
      </c>
      <c r="F30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0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01" s="32" t="str">
        <f>IF(PaymentSchedule43[[#This Row],[PMT NO]]&lt;&gt;"",PaymentSchedule43[[#This Row],[TOTAL PAYMENT]]-PaymentSchedule43[[#This Row],[INTEREST]],"")</f>
        <v/>
      </c>
      <c r="I301" s="32" t="str">
        <f>IF(PaymentSchedule43[[#This Row],[PMT NO]]&lt;&gt;"",PaymentSchedule43[[#This Row],[BEGINNING BALANCE]]*(InterestRate/PaymentsPerYear),"")</f>
        <v/>
      </c>
      <c r="J30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01" s="32" t="str">
        <f>IF(PaymentSchedule43[[#This Row],[PMT NO]]&lt;&gt;"",SUM(INDEX(PaymentSchedule43[INTEREST],1,1):PaymentSchedule43[[#This Row],[INTEREST]]),"")</f>
        <v/>
      </c>
    </row>
    <row r="302" spans="2:11" x14ac:dyDescent="0.3">
      <c r="B302" s="30" t="str">
        <f>IF(LoanIsGood,IF(ROW()-ROW(PaymentSchedule43[[#Headers],[PMT NO]])&gt;ScheduledNumberOfPayments,"",ROW()-ROW(PaymentSchedule43[[#Headers],[PMT NO]])),"")</f>
        <v/>
      </c>
      <c r="C302" s="31" t="str">
        <f>IF(PaymentSchedule43[[#This Row],[PMT NO]]&lt;&gt;"",EOMONTH(LoanStartDate,ROW(PaymentSchedule43[[#This Row],[PMT NO]])-ROW(PaymentSchedule43[[#Headers],[PMT NO]])-2)+DAY(LoanStartDate),"")</f>
        <v/>
      </c>
      <c r="D30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02" s="32" t="str">
        <f>IF(PaymentSchedule43[[#This Row],[PMT NO]]&lt;&gt;"",ScheduledPayment,"")</f>
        <v/>
      </c>
      <c r="F30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0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02" s="32" t="str">
        <f>IF(PaymentSchedule43[[#This Row],[PMT NO]]&lt;&gt;"",PaymentSchedule43[[#This Row],[TOTAL PAYMENT]]-PaymentSchedule43[[#This Row],[INTEREST]],"")</f>
        <v/>
      </c>
      <c r="I302" s="32" t="str">
        <f>IF(PaymentSchedule43[[#This Row],[PMT NO]]&lt;&gt;"",PaymentSchedule43[[#This Row],[BEGINNING BALANCE]]*(InterestRate/PaymentsPerYear),"")</f>
        <v/>
      </c>
      <c r="J30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02" s="32" t="str">
        <f>IF(PaymentSchedule43[[#This Row],[PMT NO]]&lt;&gt;"",SUM(INDEX(PaymentSchedule43[INTEREST],1,1):PaymentSchedule43[[#This Row],[INTEREST]]),"")</f>
        <v/>
      </c>
    </row>
    <row r="303" spans="2:11" x14ac:dyDescent="0.3">
      <c r="B303" s="30" t="str">
        <f>IF(LoanIsGood,IF(ROW()-ROW(PaymentSchedule43[[#Headers],[PMT NO]])&gt;ScheduledNumberOfPayments,"",ROW()-ROW(PaymentSchedule43[[#Headers],[PMT NO]])),"")</f>
        <v/>
      </c>
      <c r="C303" s="31" t="str">
        <f>IF(PaymentSchedule43[[#This Row],[PMT NO]]&lt;&gt;"",EOMONTH(LoanStartDate,ROW(PaymentSchedule43[[#This Row],[PMT NO]])-ROW(PaymentSchedule43[[#Headers],[PMT NO]])-2)+DAY(LoanStartDate),"")</f>
        <v/>
      </c>
      <c r="D30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03" s="32" t="str">
        <f>IF(PaymentSchedule43[[#This Row],[PMT NO]]&lt;&gt;"",ScheduledPayment,"")</f>
        <v/>
      </c>
      <c r="F30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0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03" s="32" t="str">
        <f>IF(PaymentSchedule43[[#This Row],[PMT NO]]&lt;&gt;"",PaymentSchedule43[[#This Row],[TOTAL PAYMENT]]-PaymentSchedule43[[#This Row],[INTEREST]],"")</f>
        <v/>
      </c>
      <c r="I303" s="32" t="str">
        <f>IF(PaymentSchedule43[[#This Row],[PMT NO]]&lt;&gt;"",PaymentSchedule43[[#This Row],[BEGINNING BALANCE]]*(InterestRate/PaymentsPerYear),"")</f>
        <v/>
      </c>
      <c r="J30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03" s="32" t="str">
        <f>IF(PaymentSchedule43[[#This Row],[PMT NO]]&lt;&gt;"",SUM(INDEX(PaymentSchedule43[INTEREST],1,1):PaymentSchedule43[[#This Row],[INTEREST]]),"")</f>
        <v/>
      </c>
    </row>
    <row r="304" spans="2:11" x14ac:dyDescent="0.3">
      <c r="B304" s="30" t="str">
        <f>IF(LoanIsGood,IF(ROW()-ROW(PaymentSchedule43[[#Headers],[PMT NO]])&gt;ScheduledNumberOfPayments,"",ROW()-ROW(PaymentSchedule43[[#Headers],[PMT NO]])),"")</f>
        <v/>
      </c>
      <c r="C304" s="31" t="str">
        <f>IF(PaymentSchedule43[[#This Row],[PMT NO]]&lt;&gt;"",EOMONTH(LoanStartDate,ROW(PaymentSchedule43[[#This Row],[PMT NO]])-ROW(PaymentSchedule43[[#Headers],[PMT NO]])-2)+DAY(LoanStartDate),"")</f>
        <v/>
      </c>
      <c r="D30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04" s="32" t="str">
        <f>IF(PaymentSchedule43[[#This Row],[PMT NO]]&lt;&gt;"",ScheduledPayment,"")</f>
        <v/>
      </c>
      <c r="F30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0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04" s="32" t="str">
        <f>IF(PaymentSchedule43[[#This Row],[PMT NO]]&lt;&gt;"",PaymentSchedule43[[#This Row],[TOTAL PAYMENT]]-PaymentSchedule43[[#This Row],[INTEREST]],"")</f>
        <v/>
      </c>
      <c r="I304" s="32" t="str">
        <f>IF(PaymentSchedule43[[#This Row],[PMT NO]]&lt;&gt;"",PaymentSchedule43[[#This Row],[BEGINNING BALANCE]]*(InterestRate/PaymentsPerYear),"")</f>
        <v/>
      </c>
      <c r="J30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04" s="32" t="str">
        <f>IF(PaymentSchedule43[[#This Row],[PMT NO]]&lt;&gt;"",SUM(INDEX(PaymentSchedule43[INTEREST],1,1):PaymentSchedule43[[#This Row],[INTEREST]]),"")</f>
        <v/>
      </c>
    </row>
    <row r="305" spans="2:11" x14ac:dyDescent="0.3">
      <c r="B305" s="30" t="str">
        <f>IF(LoanIsGood,IF(ROW()-ROW(PaymentSchedule43[[#Headers],[PMT NO]])&gt;ScheduledNumberOfPayments,"",ROW()-ROW(PaymentSchedule43[[#Headers],[PMT NO]])),"")</f>
        <v/>
      </c>
      <c r="C305" s="31" t="str">
        <f>IF(PaymentSchedule43[[#This Row],[PMT NO]]&lt;&gt;"",EOMONTH(LoanStartDate,ROW(PaymentSchedule43[[#This Row],[PMT NO]])-ROW(PaymentSchedule43[[#Headers],[PMT NO]])-2)+DAY(LoanStartDate),"")</f>
        <v/>
      </c>
      <c r="D30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05" s="32" t="str">
        <f>IF(PaymentSchedule43[[#This Row],[PMT NO]]&lt;&gt;"",ScheduledPayment,"")</f>
        <v/>
      </c>
      <c r="F30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0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05" s="32" t="str">
        <f>IF(PaymentSchedule43[[#This Row],[PMT NO]]&lt;&gt;"",PaymentSchedule43[[#This Row],[TOTAL PAYMENT]]-PaymentSchedule43[[#This Row],[INTEREST]],"")</f>
        <v/>
      </c>
      <c r="I305" s="32" t="str">
        <f>IF(PaymentSchedule43[[#This Row],[PMT NO]]&lt;&gt;"",PaymentSchedule43[[#This Row],[BEGINNING BALANCE]]*(InterestRate/PaymentsPerYear),"")</f>
        <v/>
      </c>
      <c r="J30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05" s="32" t="str">
        <f>IF(PaymentSchedule43[[#This Row],[PMT NO]]&lt;&gt;"",SUM(INDEX(PaymentSchedule43[INTEREST],1,1):PaymentSchedule43[[#This Row],[INTEREST]]),"")</f>
        <v/>
      </c>
    </row>
    <row r="306" spans="2:11" x14ac:dyDescent="0.3">
      <c r="B306" s="30" t="str">
        <f>IF(LoanIsGood,IF(ROW()-ROW(PaymentSchedule43[[#Headers],[PMT NO]])&gt;ScheduledNumberOfPayments,"",ROW()-ROW(PaymentSchedule43[[#Headers],[PMT NO]])),"")</f>
        <v/>
      </c>
      <c r="C306" s="31" t="str">
        <f>IF(PaymentSchedule43[[#This Row],[PMT NO]]&lt;&gt;"",EOMONTH(LoanStartDate,ROW(PaymentSchedule43[[#This Row],[PMT NO]])-ROW(PaymentSchedule43[[#Headers],[PMT NO]])-2)+DAY(LoanStartDate),"")</f>
        <v/>
      </c>
      <c r="D30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06" s="32" t="str">
        <f>IF(PaymentSchedule43[[#This Row],[PMT NO]]&lt;&gt;"",ScheduledPayment,"")</f>
        <v/>
      </c>
      <c r="F30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0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06" s="32" t="str">
        <f>IF(PaymentSchedule43[[#This Row],[PMT NO]]&lt;&gt;"",PaymentSchedule43[[#This Row],[TOTAL PAYMENT]]-PaymentSchedule43[[#This Row],[INTEREST]],"")</f>
        <v/>
      </c>
      <c r="I306" s="32" t="str">
        <f>IF(PaymentSchedule43[[#This Row],[PMT NO]]&lt;&gt;"",PaymentSchedule43[[#This Row],[BEGINNING BALANCE]]*(InterestRate/PaymentsPerYear),"")</f>
        <v/>
      </c>
      <c r="J30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06" s="32" t="str">
        <f>IF(PaymentSchedule43[[#This Row],[PMT NO]]&lt;&gt;"",SUM(INDEX(PaymentSchedule43[INTEREST],1,1):PaymentSchedule43[[#This Row],[INTEREST]]),"")</f>
        <v/>
      </c>
    </row>
    <row r="307" spans="2:11" x14ac:dyDescent="0.3">
      <c r="B307" s="30" t="str">
        <f>IF(LoanIsGood,IF(ROW()-ROW(PaymentSchedule43[[#Headers],[PMT NO]])&gt;ScheduledNumberOfPayments,"",ROW()-ROW(PaymentSchedule43[[#Headers],[PMT NO]])),"")</f>
        <v/>
      </c>
      <c r="C307" s="31" t="str">
        <f>IF(PaymentSchedule43[[#This Row],[PMT NO]]&lt;&gt;"",EOMONTH(LoanStartDate,ROW(PaymentSchedule43[[#This Row],[PMT NO]])-ROW(PaymentSchedule43[[#Headers],[PMT NO]])-2)+DAY(LoanStartDate),"")</f>
        <v/>
      </c>
      <c r="D30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07" s="32" t="str">
        <f>IF(PaymentSchedule43[[#This Row],[PMT NO]]&lt;&gt;"",ScheduledPayment,"")</f>
        <v/>
      </c>
      <c r="F30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0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07" s="32" t="str">
        <f>IF(PaymentSchedule43[[#This Row],[PMT NO]]&lt;&gt;"",PaymentSchedule43[[#This Row],[TOTAL PAYMENT]]-PaymentSchedule43[[#This Row],[INTEREST]],"")</f>
        <v/>
      </c>
      <c r="I307" s="32" t="str">
        <f>IF(PaymentSchedule43[[#This Row],[PMT NO]]&lt;&gt;"",PaymentSchedule43[[#This Row],[BEGINNING BALANCE]]*(InterestRate/PaymentsPerYear),"")</f>
        <v/>
      </c>
      <c r="J30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07" s="32" t="str">
        <f>IF(PaymentSchedule43[[#This Row],[PMT NO]]&lt;&gt;"",SUM(INDEX(PaymentSchedule43[INTEREST],1,1):PaymentSchedule43[[#This Row],[INTEREST]]),"")</f>
        <v/>
      </c>
    </row>
    <row r="308" spans="2:11" x14ac:dyDescent="0.3">
      <c r="B308" s="30" t="str">
        <f>IF(LoanIsGood,IF(ROW()-ROW(PaymentSchedule43[[#Headers],[PMT NO]])&gt;ScheduledNumberOfPayments,"",ROW()-ROW(PaymentSchedule43[[#Headers],[PMT NO]])),"")</f>
        <v/>
      </c>
      <c r="C308" s="31" t="str">
        <f>IF(PaymentSchedule43[[#This Row],[PMT NO]]&lt;&gt;"",EOMONTH(LoanStartDate,ROW(PaymentSchedule43[[#This Row],[PMT NO]])-ROW(PaymentSchedule43[[#Headers],[PMT NO]])-2)+DAY(LoanStartDate),"")</f>
        <v/>
      </c>
      <c r="D30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08" s="32" t="str">
        <f>IF(PaymentSchedule43[[#This Row],[PMT NO]]&lt;&gt;"",ScheduledPayment,"")</f>
        <v/>
      </c>
      <c r="F30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0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08" s="32" t="str">
        <f>IF(PaymentSchedule43[[#This Row],[PMT NO]]&lt;&gt;"",PaymentSchedule43[[#This Row],[TOTAL PAYMENT]]-PaymentSchedule43[[#This Row],[INTEREST]],"")</f>
        <v/>
      </c>
      <c r="I308" s="32" t="str">
        <f>IF(PaymentSchedule43[[#This Row],[PMT NO]]&lt;&gt;"",PaymentSchedule43[[#This Row],[BEGINNING BALANCE]]*(InterestRate/PaymentsPerYear),"")</f>
        <v/>
      </c>
      <c r="J30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08" s="32" t="str">
        <f>IF(PaymentSchedule43[[#This Row],[PMT NO]]&lt;&gt;"",SUM(INDEX(PaymentSchedule43[INTEREST],1,1):PaymentSchedule43[[#This Row],[INTEREST]]),"")</f>
        <v/>
      </c>
    </row>
    <row r="309" spans="2:11" x14ac:dyDescent="0.3">
      <c r="B309" s="30" t="str">
        <f>IF(LoanIsGood,IF(ROW()-ROW(PaymentSchedule43[[#Headers],[PMT NO]])&gt;ScheduledNumberOfPayments,"",ROW()-ROW(PaymentSchedule43[[#Headers],[PMT NO]])),"")</f>
        <v/>
      </c>
      <c r="C309" s="31" t="str">
        <f>IF(PaymentSchedule43[[#This Row],[PMT NO]]&lt;&gt;"",EOMONTH(LoanStartDate,ROW(PaymentSchedule43[[#This Row],[PMT NO]])-ROW(PaymentSchedule43[[#Headers],[PMT NO]])-2)+DAY(LoanStartDate),"")</f>
        <v/>
      </c>
      <c r="D30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09" s="32" t="str">
        <f>IF(PaymentSchedule43[[#This Row],[PMT NO]]&lt;&gt;"",ScheduledPayment,"")</f>
        <v/>
      </c>
      <c r="F30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0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09" s="32" t="str">
        <f>IF(PaymentSchedule43[[#This Row],[PMT NO]]&lt;&gt;"",PaymentSchedule43[[#This Row],[TOTAL PAYMENT]]-PaymentSchedule43[[#This Row],[INTEREST]],"")</f>
        <v/>
      </c>
      <c r="I309" s="32" t="str">
        <f>IF(PaymentSchedule43[[#This Row],[PMT NO]]&lt;&gt;"",PaymentSchedule43[[#This Row],[BEGINNING BALANCE]]*(InterestRate/PaymentsPerYear),"")</f>
        <v/>
      </c>
      <c r="J30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09" s="32" t="str">
        <f>IF(PaymentSchedule43[[#This Row],[PMT NO]]&lt;&gt;"",SUM(INDEX(PaymentSchedule43[INTEREST],1,1):PaymentSchedule43[[#This Row],[INTEREST]]),"")</f>
        <v/>
      </c>
    </row>
    <row r="310" spans="2:11" x14ac:dyDescent="0.3">
      <c r="B310" s="30" t="str">
        <f>IF(LoanIsGood,IF(ROW()-ROW(PaymentSchedule43[[#Headers],[PMT NO]])&gt;ScheduledNumberOfPayments,"",ROW()-ROW(PaymentSchedule43[[#Headers],[PMT NO]])),"")</f>
        <v/>
      </c>
      <c r="C310" s="31" t="str">
        <f>IF(PaymentSchedule43[[#This Row],[PMT NO]]&lt;&gt;"",EOMONTH(LoanStartDate,ROW(PaymentSchedule43[[#This Row],[PMT NO]])-ROW(PaymentSchedule43[[#Headers],[PMT NO]])-2)+DAY(LoanStartDate),"")</f>
        <v/>
      </c>
      <c r="D31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10" s="32" t="str">
        <f>IF(PaymentSchedule43[[#This Row],[PMT NO]]&lt;&gt;"",ScheduledPayment,"")</f>
        <v/>
      </c>
      <c r="F31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1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10" s="32" t="str">
        <f>IF(PaymentSchedule43[[#This Row],[PMT NO]]&lt;&gt;"",PaymentSchedule43[[#This Row],[TOTAL PAYMENT]]-PaymentSchedule43[[#This Row],[INTEREST]],"")</f>
        <v/>
      </c>
      <c r="I310" s="32" t="str">
        <f>IF(PaymentSchedule43[[#This Row],[PMT NO]]&lt;&gt;"",PaymentSchedule43[[#This Row],[BEGINNING BALANCE]]*(InterestRate/PaymentsPerYear),"")</f>
        <v/>
      </c>
      <c r="J31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10" s="32" t="str">
        <f>IF(PaymentSchedule43[[#This Row],[PMT NO]]&lt;&gt;"",SUM(INDEX(PaymentSchedule43[INTEREST],1,1):PaymentSchedule43[[#This Row],[INTEREST]]),"")</f>
        <v/>
      </c>
    </row>
    <row r="311" spans="2:11" x14ac:dyDescent="0.3">
      <c r="B311" s="30" t="str">
        <f>IF(LoanIsGood,IF(ROW()-ROW(PaymentSchedule43[[#Headers],[PMT NO]])&gt;ScheduledNumberOfPayments,"",ROW()-ROW(PaymentSchedule43[[#Headers],[PMT NO]])),"")</f>
        <v/>
      </c>
      <c r="C311" s="31" t="str">
        <f>IF(PaymentSchedule43[[#This Row],[PMT NO]]&lt;&gt;"",EOMONTH(LoanStartDate,ROW(PaymentSchedule43[[#This Row],[PMT NO]])-ROW(PaymentSchedule43[[#Headers],[PMT NO]])-2)+DAY(LoanStartDate),"")</f>
        <v/>
      </c>
      <c r="D31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11" s="32" t="str">
        <f>IF(PaymentSchedule43[[#This Row],[PMT NO]]&lt;&gt;"",ScheduledPayment,"")</f>
        <v/>
      </c>
      <c r="F31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1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11" s="32" t="str">
        <f>IF(PaymentSchedule43[[#This Row],[PMT NO]]&lt;&gt;"",PaymentSchedule43[[#This Row],[TOTAL PAYMENT]]-PaymentSchedule43[[#This Row],[INTEREST]],"")</f>
        <v/>
      </c>
      <c r="I311" s="32" t="str">
        <f>IF(PaymentSchedule43[[#This Row],[PMT NO]]&lt;&gt;"",PaymentSchedule43[[#This Row],[BEGINNING BALANCE]]*(InterestRate/PaymentsPerYear),"")</f>
        <v/>
      </c>
      <c r="J31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11" s="32" t="str">
        <f>IF(PaymentSchedule43[[#This Row],[PMT NO]]&lt;&gt;"",SUM(INDEX(PaymentSchedule43[INTEREST],1,1):PaymentSchedule43[[#This Row],[INTEREST]]),"")</f>
        <v/>
      </c>
    </row>
    <row r="312" spans="2:11" x14ac:dyDescent="0.3">
      <c r="B312" s="30" t="str">
        <f>IF(LoanIsGood,IF(ROW()-ROW(PaymentSchedule43[[#Headers],[PMT NO]])&gt;ScheduledNumberOfPayments,"",ROW()-ROW(PaymentSchedule43[[#Headers],[PMT NO]])),"")</f>
        <v/>
      </c>
      <c r="C312" s="31" t="str">
        <f>IF(PaymentSchedule43[[#This Row],[PMT NO]]&lt;&gt;"",EOMONTH(LoanStartDate,ROW(PaymentSchedule43[[#This Row],[PMT NO]])-ROW(PaymentSchedule43[[#Headers],[PMT NO]])-2)+DAY(LoanStartDate),"")</f>
        <v/>
      </c>
      <c r="D31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12" s="32" t="str">
        <f>IF(PaymentSchedule43[[#This Row],[PMT NO]]&lt;&gt;"",ScheduledPayment,"")</f>
        <v/>
      </c>
      <c r="F31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1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12" s="32" t="str">
        <f>IF(PaymentSchedule43[[#This Row],[PMT NO]]&lt;&gt;"",PaymentSchedule43[[#This Row],[TOTAL PAYMENT]]-PaymentSchedule43[[#This Row],[INTEREST]],"")</f>
        <v/>
      </c>
      <c r="I312" s="32" t="str">
        <f>IF(PaymentSchedule43[[#This Row],[PMT NO]]&lt;&gt;"",PaymentSchedule43[[#This Row],[BEGINNING BALANCE]]*(InterestRate/PaymentsPerYear),"")</f>
        <v/>
      </c>
      <c r="J31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12" s="32" t="str">
        <f>IF(PaymentSchedule43[[#This Row],[PMT NO]]&lt;&gt;"",SUM(INDEX(PaymentSchedule43[INTEREST],1,1):PaymentSchedule43[[#This Row],[INTEREST]]),"")</f>
        <v/>
      </c>
    </row>
    <row r="313" spans="2:11" x14ac:dyDescent="0.3">
      <c r="B313" s="30" t="str">
        <f>IF(LoanIsGood,IF(ROW()-ROW(PaymentSchedule43[[#Headers],[PMT NO]])&gt;ScheduledNumberOfPayments,"",ROW()-ROW(PaymentSchedule43[[#Headers],[PMT NO]])),"")</f>
        <v/>
      </c>
      <c r="C313" s="31" t="str">
        <f>IF(PaymentSchedule43[[#This Row],[PMT NO]]&lt;&gt;"",EOMONTH(LoanStartDate,ROW(PaymentSchedule43[[#This Row],[PMT NO]])-ROW(PaymentSchedule43[[#Headers],[PMT NO]])-2)+DAY(LoanStartDate),"")</f>
        <v/>
      </c>
      <c r="D31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13" s="32" t="str">
        <f>IF(PaymentSchedule43[[#This Row],[PMT NO]]&lt;&gt;"",ScheduledPayment,"")</f>
        <v/>
      </c>
      <c r="F31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1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13" s="32" t="str">
        <f>IF(PaymentSchedule43[[#This Row],[PMT NO]]&lt;&gt;"",PaymentSchedule43[[#This Row],[TOTAL PAYMENT]]-PaymentSchedule43[[#This Row],[INTEREST]],"")</f>
        <v/>
      </c>
      <c r="I313" s="32" t="str">
        <f>IF(PaymentSchedule43[[#This Row],[PMT NO]]&lt;&gt;"",PaymentSchedule43[[#This Row],[BEGINNING BALANCE]]*(InterestRate/PaymentsPerYear),"")</f>
        <v/>
      </c>
      <c r="J31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13" s="32" t="str">
        <f>IF(PaymentSchedule43[[#This Row],[PMT NO]]&lt;&gt;"",SUM(INDEX(PaymentSchedule43[INTEREST],1,1):PaymentSchedule43[[#This Row],[INTEREST]]),"")</f>
        <v/>
      </c>
    </row>
    <row r="314" spans="2:11" x14ac:dyDescent="0.3">
      <c r="B314" s="30" t="str">
        <f>IF(LoanIsGood,IF(ROW()-ROW(PaymentSchedule43[[#Headers],[PMT NO]])&gt;ScheduledNumberOfPayments,"",ROW()-ROW(PaymentSchedule43[[#Headers],[PMT NO]])),"")</f>
        <v/>
      </c>
      <c r="C314" s="31" t="str">
        <f>IF(PaymentSchedule43[[#This Row],[PMT NO]]&lt;&gt;"",EOMONTH(LoanStartDate,ROW(PaymentSchedule43[[#This Row],[PMT NO]])-ROW(PaymentSchedule43[[#Headers],[PMT NO]])-2)+DAY(LoanStartDate),"")</f>
        <v/>
      </c>
      <c r="D31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14" s="32" t="str">
        <f>IF(PaymentSchedule43[[#This Row],[PMT NO]]&lt;&gt;"",ScheduledPayment,"")</f>
        <v/>
      </c>
      <c r="F31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1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14" s="32" t="str">
        <f>IF(PaymentSchedule43[[#This Row],[PMT NO]]&lt;&gt;"",PaymentSchedule43[[#This Row],[TOTAL PAYMENT]]-PaymentSchedule43[[#This Row],[INTEREST]],"")</f>
        <v/>
      </c>
      <c r="I314" s="32" t="str">
        <f>IF(PaymentSchedule43[[#This Row],[PMT NO]]&lt;&gt;"",PaymentSchedule43[[#This Row],[BEGINNING BALANCE]]*(InterestRate/PaymentsPerYear),"")</f>
        <v/>
      </c>
      <c r="J31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14" s="32" t="str">
        <f>IF(PaymentSchedule43[[#This Row],[PMT NO]]&lt;&gt;"",SUM(INDEX(PaymentSchedule43[INTEREST],1,1):PaymentSchedule43[[#This Row],[INTEREST]]),"")</f>
        <v/>
      </c>
    </row>
    <row r="315" spans="2:11" x14ac:dyDescent="0.3">
      <c r="B315" s="30" t="str">
        <f>IF(LoanIsGood,IF(ROW()-ROW(PaymentSchedule43[[#Headers],[PMT NO]])&gt;ScheduledNumberOfPayments,"",ROW()-ROW(PaymentSchedule43[[#Headers],[PMT NO]])),"")</f>
        <v/>
      </c>
      <c r="C315" s="31" t="str">
        <f>IF(PaymentSchedule43[[#This Row],[PMT NO]]&lt;&gt;"",EOMONTH(LoanStartDate,ROW(PaymentSchedule43[[#This Row],[PMT NO]])-ROW(PaymentSchedule43[[#Headers],[PMT NO]])-2)+DAY(LoanStartDate),"")</f>
        <v/>
      </c>
      <c r="D31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15" s="32" t="str">
        <f>IF(PaymentSchedule43[[#This Row],[PMT NO]]&lt;&gt;"",ScheduledPayment,"")</f>
        <v/>
      </c>
      <c r="F31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1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15" s="32" t="str">
        <f>IF(PaymentSchedule43[[#This Row],[PMT NO]]&lt;&gt;"",PaymentSchedule43[[#This Row],[TOTAL PAYMENT]]-PaymentSchedule43[[#This Row],[INTEREST]],"")</f>
        <v/>
      </c>
      <c r="I315" s="32" t="str">
        <f>IF(PaymentSchedule43[[#This Row],[PMT NO]]&lt;&gt;"",PaymentSchedule43[[#This Row],[BEGINNING BALANCE]]*(InterestRate/PaymentsPerYear),"")</f>
        <v/>
      </c>
      <c r="J31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15" s="32" t="str">
        <f>IF(PaymentSchedule43[[#This Row],[PMT NO]]&lt;&gt;"",SUM(INDEX(PaymentSchedule43[INTEREST],1,1):PaymentSchedule43[[#This Row],[INTEREST]]),"")</f>
        <v/>
      </c>
    </row>
    <row r="316" spans="2:11" x14ac:dyDescent="0.3">
      <c r="B316" s="30" t="str">
        <f>IF(LoanIsGood,IF(ROW()-ROW(PaymentSchedule43[[#Headers],[PMT NO]])&gt;ScheduledNumberOfPayments,"",ROW()-ROW(PaymentSchedule43[[#Headers],[PMT NO]])),"")</f>
        <v/>
      </c>
      <c r="C316" s="31" t="str">
        <f>IF(PaymentSchedule43[[#This Row],[PMT NO]]&lt;&gt;"",EOMONTH(LoanStartDate,ROW(PaymentSchedule43[[#This Row],[PMT NO]])-ROW(PaymentSchedule43[[#Headers],[PMT NO]])-2)+DAY(LoanStartDate),"")</f>
        <v/>
      </c>
      <c r="D31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16" s="32" t="str">
        <f>IF(PaymentSchedule43[[#This Row],[PMT NO]]&lt;&gt;"",ScheduledPayment,"")</f>
        <v/>
      </c>
      <c r="F31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1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16" s="32" t="str">
        <f>IF(PaymentSchedule43[[#This Row],[PMT NO]]&lt;&gt;"",PaymentSchedule43[[#This Row],[TOTAL PAYMENT]]-PaymentSchedule43[[#This Row],[INTEREST]],"")</f>
        <v/>
      </c>
      <c r="I316" s="32" t="str">
        <f>IF(PaymentSchedule43[[#This Row],[PMT NO]]&lt;&gt;"",PaymentSchedule43[[#This Row],[BEGINNING BALANCE]]*(InterestRate/PaymentsPerYear),"")</f>
        <v/>
      </c>
      <c r="J31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16" s="32" t="str">
        <f>IF(PaymentSchedule43[[#This Row],[PMT NO]]&lt;&gt;"",SUM(INDEX(PaymentSchedule43[INTEREST],1,1):PaymentSchedule43[[#This Row],[INTEREST]]),"")</f>
        <v/>
      </c>
    </row>
    <row r="317" spans="2:11" x14ac:dyDescent="0.3">
      <c r="B317" s="30" t="str">
        <f>IF(LoanIsGood,IF(ROW()-ROW(PaymentSchedule43[[#Headers],[PMT NO]])&gt;ScheduledNumberOfPayments,"",ROW()-ROW(PaymentSchedule43[[#Headers],[PMT NO]])),"")</f>
        <v/>
      </c>
      <c r="C317" s="31" t="str">
        <f>IF(PaymentSchedule43[[#This Row],[PMT NO]]&lt;&gt;"",EOMONTH(LoanStartDate,ROW(PaymentSchedule43[[#This Row],[PMT NO]])-ROW(PaymentSchedule43[[#Headers],[PMT NO]])-2)+DAY(LoanStartDate),"")</f>
        <v/>
      </c>
      <c r="D31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17" s="32" t="str">
        <f>IF(PaymentSchedule43[[#This Row],[PMT NO]]&lt;&gt;"",ScheduledPayment,"")</f>
        <v/>
      </c>
      <c r="F31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1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17" s="32" t="str">
        <f>IF(PaymentSchedule43[[#This Row],[PMT NO]]&lt;&gt;"",PaymentSchedule43[[#This Row],[TOTAL PAYMENT]]-PaymentSchedule43[[#This Row],[INTEREST]],"")</f>
        <v/>
      </c>
      <c r="I317" s="32" t="str">
        <f>IF(PaymentSchedule43[[#This Row],[PMT NO]]&lt;&gt;"",PaymentSchedule43[[#This Row],[BEGINNING BALANCE]]*(InterestRate/PaymentsPerYear),"")</f>
        <v/>
      </c>
      <c r="J31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17" s="32" t="str">
        <f>IF(PaymentSchedule43[[#This Row],[PMT NO]]&lt;&gt;"",SUM(INDEX(PaymentSchedule43[INTEREST],1,1):PaymentSchedule43[[#This Row],[INTEREST]]),"")</f>
        <v/>
      </c>
    </row>
    <row r="318" spans="2:11" x14ac:dyDescent="0.3">
      <c r="B318" s="30" t="str">
        <f>IF(LoanIsGood,IF(ROW()-ROW(PaymentSchedule43[[#Headers],[PMT NO]])&gt;ScheduledNumberOfPayments,"",ROW()-ROW(PaymentSchedule43[[#Headers],[PMT NO]])),"")</f>
        <v/>
      </c>
      <c r="C318" s="31" t="str">
        <f>IF(PaymentSchedule43[[#This Row],[PMT NO]]&lt;&gt;"",EOMONTH(LoanStartDate,ROW(PaymentSchedule43[[#This Row],[PMT NO]])-ROW(PaymentSchedule43[[#Headers],[PMT NO]])-2)+DAY(LoanStartDate),"")</f>
        <v/>
      </c>
      <c r="D31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18" s="32" t="str">
        <f>IF(PaymentSchedule43[[#This Row],[PMT NO]]&lt;&gt;"",ScheduledPayment,"")</f>
        <v/>
      </c>
      <c r="F31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1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18" s="32" t="str">
        <f>IF(PaymentSchedule43[[#This Row],[PMT NO]]&lt;&gt;"",PaymentSchedule43[[#This Row],[TOTAL PAYMENT]]-PaymentSchedule43[[#This Row],[INTEREST]],"")</f>
        <v/>
      </c>
      <c r="I318" s="32" t="str">
        <f>IF(PaymentSchedule43[[#This Row],[PMT NO]]&lt;&gt;"",PaymentSchedule43[[#This Row],[BEGINNING BALANCE]]*(InterestRate/PaymentsPerYear),"")</f>
        <v/>
      </c>
      <c r="J31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18" s="32" t="str">
        <f>IF(PaymentSchedule43[[#This Row],[PMT NO]]&lt;&gt;"",SUM(INDEX(PaymentSchedule43[INTEREST],1,1):PaymentSchedule43[[#This Row],[INTEREST]]),"")</f>
        <v/>
      </c>
    </row>
    <row r="319" spans="2:11" x14ac:dyDescent="0.3">
      <c r="B319" s="30" t="str">
        <f>IF(LoanIsGood,IF(ROW()-ROW(PaymentSchedule43[[#Headers],[PMT NO]])&gt;ScheduledNumberOfPayments,"",ROW()-ROW(PaymentSchedule43[[#Headers],[PMT NO]])),"")</f>
        <v/>
      </c>
      <c r="C319" s="31" t="str">
        <f>IF(PaymentSchedule43[[#This Row],[PMT NO]]&lt;&gt;"",EOMONTH(LoanStartDate,ROW(PaymentSchedule43[[#This Row],[PMT NO]])-ROW(PaymentSchedule43[[#Headers],[PMT NO]])-2)+DAY(LoanStartDate),"")</f>
        <v/>
      </c>
      <c r="D31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19" s="32" t="str">
        <f>IF(PaymentSchedule43[[#This Row],[PMT NO]]&lt;&gt;"",ScheduledPayment,"")</f>
        <v/>
      </c>
      <c r="F31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1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19" s="32" t="str">
        <f>IF(PaymentSchedule43[[#This Row],[PMT NO]]&lt;&gt;"",PaymentSchedule43[[#This Row],[TOTAL PAYMENT]]-PaymentSchedule43[[#This Row],[INTEREST]],"")</f>
        <v/>
      </c>
      <c r="I319" s="32" t="str">
        <f>IF(PaymentSchedule43[[#This Row],[PMT NO]]&lt;&gt;"",PaymentSchedule43[[#This Row],[BEGINNING BALANCE]]*(InterestRate/PaymentsPerYear),"")</f>
        <v/>
      </c>
      <c r="J31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19" s="32" t="str">
        <f>IF(PaymentSchedule43[[#This Row],[PMT NO]]&lt;&gt;"",SUM(INDEX(PaymentSchedule43[INTEREST],1,1):PaymentSchedule43[[#This Row],[INTEREST]]),"")</f>
        <v/>
      </c>
    </row>
    <row r="320" spans="2:11" x14ac:dyDescent="0.3">
      <c r="B320" s="30" t="str">
        <f>IF(LoanIsGood,IF(ROW()-ROW(PaymentSchedule43[[#Headers],[PMT NO]])&gt;ScheduledNumberOfPayments,"",ROW()-ROW(PaymentSchedule43[[#Headers],[PMT NO]])),"")</f>
        <v/>
      </c>
      <c r="C320" s="31" t="str">
        <f>IF(PaymentSchedule43[[#This Row],[PMT NO]]&lt;&gt;"",EOMONTH(LoanStartDate,ROW(PaymentSchedule43[[#This Row],[PMT NO]])-ROW(PaymentSchedule43[[#Headers],[PMT NO]])-2)+DAY(LoanStartDate),"")</f>
        <v/>
      </c>
      <c r="D32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20" s="32" t="str">
        <f>IF(PaymentSchedule43[[#This Row],[PMT NO]]&lt;&gt;"",ScheduledPayment,"")</f>
        <v/>
      </c>
      <c r="F32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2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20" s="32" t="str">
        <f>IF(PaymentSchedule43[[#This Row],[PMT NO]]&lt;&gt;"",PaymentSchedule43[[#This Row],[TOTAL PAYMENT]]-PaymentSchedule43[[#This Row],[INTEREST]],"")</f>
        <v/>
      </c>
      <c r="I320" s="32" t="str">
        <f>IF(PaymentSchedule43[[#This Row],[PMT NO]]&lt;&gt;"",PaymentSchedule43[[#This Row],[BEGINNING BALANCE]]*(InterestRate/PaymentsPerYear),"")</f>
        <v/>
      </c>
      <c r="J32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20" s="32" t="str">
        <f>IF(PaymentSchedule43[[#This Row],[PMT NO]]&lt;&gt;"",SUM(INDEX(PaymentSchedule43[INTEREST],1,1):PaymentSchedule43[[#This Row],[INTEREST]]),"")</f>
        <v/>
      </c>
    </row>
    <row r="321" spans="2:11" x14ac:dyDescent="0.3">
      <c r="B321" s="30" t="str">
        <f>IF(LoanIsGood,IF(ROW()-ROW(PaymentSchedule43[[#Headers],[PMT NO]])&gt;ScheduledNumberOfPayments,"",ROW()-ROW(PaymentSchedule43[[#Headers],[PMT NO]])),"")</f>
        <v/>
      </c>
      <c r="C321" s="31" t="str">
        <f>IF(PaymentSchedule43[[#This Row],[PMT NO]]&lt;&gt;"",EOMONTH(LoanStartDate,ROW(PaymentSchedule43[[#This Row],[PMT NO]])-ROW(PaymentSchedule43[[#Headers],[PMT NO]])-2)+DAY(LoanStartDate),"")</f>
        <v/>
      </c>
      <c r="D32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21" s="32" t="str">
        <f>IF(PaymentSchedule43[[#This Row],[PMT NO]]&lt;&gt;"",ScheduledPayment,"")</f>
        <v/>
      </c>
      <c r="F32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2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21" s="32" t="str">
        <f>IF(PaymentSchedule43[[#This Row],[PMT NO]]&lt;&gt;"",PaymentSchedule43[[#This Row],[TOTAL PAYMENT]]-PaymentSchedule43[[#This Row],[INTEREST]],"")</f>
        <v/>
      </c>
      <c r="I321" s="32" t="str">
        <f>IF(PaymentSchedule43[[#This Row],[PMT NO]]&lt;&gt;"",PaymentSchedule43[[#This Row],[BEGINNING BALANCE]]*(InterestRate/PaymentsPerYear),"")</f>
        <v/>
      </c>
      <c r="J32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21" s="32" t="str">
        <f>IF(PaymentSchedule43[[#This Row],[PMT NO]]&lt;&gt;"",SUM(INDEX(PaymentSchedule43[INTEREST],1,1):PaymentSchedule43[[#This Row],[INTEREST]]),"")</f>
        <v/>
      </c>
    </row>
    <row r="322" spans="2:11" x14ac:dyDescent="0.3">
      <c r="B322" s="30" t="str">
        <f>IF(LoanIsGood,IF(ROW()-ROW(PaymentSchedule43[[#Headers],[PMT NO]])&gt;ScheduledNumberOfPayments,"",ROW()-ROW(PaymentSchedule43[[#Headers],[PMT NO]])),"")</f>
        <v/>
      </c>
      <c r="C322" s="31" t="str">
        <f>IF(PaymentSchedule43[[#This Row],[PMT NO]]&lt;&gt;"",EOMONTH(LoanStartDate,ROW(PaymentSchedule43[[#This Row],[PMT NO]])-ROW(PaymentSchedule43[[#Headers],[PMT NO]])-2)+DAY(LoanStartDate),"")</f>
        <v/>
      </c>
      <c r="D32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22" s="32" t="str">
        <f>IF(PaymentSchedule43[[#This Row],[PMT NO]]&lt;&gt;"",ScheduledPayment,"")</f>
        <v/>
      </c>
      <c r="F32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2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22" s="32" t="str">
        <f>IF(PaymentSchedule43[[#This Row],[PMT NO]]&lt;&gt;"",PaymentSchedule43[[#This Row],[TOTAL PAYMENT]]-PaymentSchedule43[[#This Row],[INTEREST]],"")</f>
        <v/>
      </c>
      <c r="I322" s="32" t="str">
        <f>IF(PaymentSchedule43[[#This Row],[PMT NO]]&lt;&gt;"",PaymentSchedule43[[#This Row],[BEGINNING BALANCE]]*(InterestRate/PaymentsPerYear),"")</f>
        <v/>
      </c>
      <c r="J32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22" s="32" t="str">
        <f>IF(PaymentSchedule43[[#This Row],[PMT NO]]&lt;&gt;"",SUM(INDEX(PaymentSchedule43[INTEREST],1,1):PaymentSchedule43[[#This Row],[INTEREST]]),"")</f>
        <v/>
      </c>
    </row>
    <row r="323" spans="2:11" x14ac:dyDescent="0.3">
      <c r="B323" s="30" t="str">
        <f>IF(LoanIsGood,IF(ROW()-ROW(PaymentSchedule43[[#Headers],[PMT NO]])&gt;ScheduledNumberOfPayments,"",ROW()-ROW(PaymentSchedule43[[#Headers],[PMT NO]])),"")</f>
        <v/>
      </c>
      <c r="C323" s="31" t="str">
        <f>IF(PaymentSchedule43[[#This Row],[PMT NO]]&lt;&gt;"",EOMONTH(LoanStartDate,ROW(PaymentSchedule43[[#This Row],[PMT NO]])-ROW(PaymentSchedule43[[#Headers],[PMT NO]])-2)+DAY(LoanStartDate),"")</f>
        <v/>
      </c>
      <c r="D32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23" s="32" t="str">
        <f>IF(PaymentSchedule43[[#This Row],[PMT NO]]&lt;&gt;"",ScheduledPayment,"")</f>
        <v/>
      </c>
      <c r="F32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2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23" s="32" t="str">
        <f>IF(PaymentSchedule43[[#This Row],[PMT NO]]&lt;&gt;"",PaymentSchedule43[[#This Row],[TOTAL PAYMENT]]-PaymentSchedule43[[#This Row],[INTEREST]],"")</f>
        <v/>
      </c>
      <c r="I323" s="32" t="str">
        <f>IF(PaymentSchedule43[[#This Row],[PMT NO]]&lt;&gt;"",PaymentSchedule43[[#This Row],[BEGINNING BALANCE]]*(InterestRate/PaymentsPerYear),"")</f>
        <v/>
      </c>
      <c r="J32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23" s="32" t="str">
        <f>IF(PaymentSchedule43[[#This Row],[PMT NO]]&lt;&gt;"",SUM(INDEX(PaymentSchedule43[INTEREST],1,1):PaymentSchedule43[[#This Row],[INTEREST]]),"")</f>
        <v/>
      </c>
    </row>
    <row r="324" spans="2:11" x14ac:dyDescent="0.3">
      <c r="B324" s="30" t="str">
        <f>IF(LoanIsGood,IF(ROW()-ROW(PaymentSchedule43[[#Headers],[PMT NO]])&gt;ScheduledNumberOfPayments,"",ROW()-ROW(PaymentSchedule43[[#Headers],[PMT NO]])),"")</f>
        <v/>
      </c>
      <c r="C324" s="31" t="str">
        <f>IF(PaymentSchedule43[[#This Row],[PMT NO]]&lt;&gt;"",EOMONTH(LoanStartDate,ROW(PaymentSchedule43[[#This Row],[PMT NO]])-ROW(PaymentSchedule43[[#Headers],[PMT NO]])-2)+DAY(LoanStartDate),"")</f>
        <v/>
      </c>
      <c r="D32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24" s="32" t="str">
        <f>IF(PaymentSchedule43[[#This Row],[PMT NO]]&lt;&gt;"",ScheduledPayment,"")</f>
        <v/>
      </c>
      <c r="F32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2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24" s="32" t="str">
        <f>IF(PaymentSchedule43[[#This Row],[PMT NO]]&lt;&gt;"",PaymentSchedule43[[#This Row],[TOTAL PAYMENT]]-PaymentSchedule43[[#This Row],[INTEREST]],"")</f>
        <v/>
      </c>
      <c r="I324" s="32" t="str">
        <f>IF(PaymentSchedule43[[#This Row],[PMT NO]]&lt;&gt;"",PaymentSchedule43[[#This Row],[BEGINNING BALANCE]]*(InterestRate/PaymentsPerYear),"")</f>
        <v/>
      </c>
      <c r="J32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24" s="32" t="str">
        <f>IF(PaymentSchedule43[[#This Row],[PMT NO]]&lt;&gt;"",SUM(INDEX(PaymentSchedule43[INTEREST],1,1):PaymentSchedule43[[#This Row],[INTEREST]]),"")</f>
        <v/>
      </c>
    </row>
    <row r="325" spans="2:11" x14ac:dyDescent="0.3">
      <c r="B325" s="30" t="str">
        <f>IF(LoanIsGood,IF(ROW()-ROW(PaymentSchedule43[[#Headers],[PMT NO]])&gt;ScheduledNumberOfPayments,"",ROW()-ROW(PaymentSchedule43[[#Headers],[PMT NO]])),"")</f>
        <v/>
      </c>
      <c r="C325" s="31" t="str">
        <f>IF(PaymentSchedule43[[#This Row],[PMT NO]]&lt;&gt;"",EOMONTH(LoanStartDate,ROW(PaymentSchedule43[[#This Row],[PMT NO]])-ROW(PaymentSchedule43[[#Headers],[PMT NO]])-2)+DAY(LoanStartDate),"")</f>
        <v/>
      </c>
      <c r="D32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25" s="32" t="str">
        <f>IF(PaymentSchedule43[[#This Row],[PMT NO]]&lt;&gt;"",ScheduledPayment,"")</f>
        <v/>
      </c>
      <c r="F32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2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25" s="32" t="str">
        <f>IF(PaymentSchedule43[[#This Row],[PMT NO]]&lt;&gt;"",PaymentSchedule43[[#This Row],[TOTAL PAYMENT]]-PaymentSchedule43[[#This Row],[INTEREST]],"")</f>
        <v/>
      </c>
      <c r="I325" s="32" t="str">
        <f>IF(PaymentSchedule43[[#This Row],[PMT NO]]&lt;&gt;"",PaymentSchedule43[[#This Row],[BEGINNING BALANCE]]*(InterestRate/PaymentsPerYear),"")</f>
        <v/>
      </c>
      <c r="J32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25" s="32" t="str">
        <f>IF(PaymentSchedule43[[#This Row],[PMT NO]]&lt;&gt;"",SUM(INDEX(PaymentSchedule43[INTEREST],1,1):PaymentSchedule43[[#This Row],[INTEREST]]),"")</f>
        <v/>
      </c>
    </row>
    <row r="326" spans="2:11" x14ac:dyDescent="0.3">
      <c r="B326" s="30" t="str">
        <f>IF(LoanIsGood,IF(ROW()-ROW(PaymentSchedule43[[#Headers],[PMT NO]])&gt;ScheduledNumberOfPayments,"",ROW()-ROW(PaymentSchedule43[[#Headers],[PMT NO]])),"")</f>
        <v/>
      </c>
      <c r="C326" s="31" t="str">
        <f>IF(PaymentSchedule43[[#This Row],[PMT NO]]&lt;&gt;"",EOMONTH(LoanStartDate,ROW(PaymentSchedule43[[#This Row],[PMT NO]])-ROW(PaymentSchedule43[[#Headers],[PMT NO]])-2)+DAY(LoanStartDate),"")</f>
        <v/>
      </c>
      <c r="D32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26" s="32" t="str">
        <f>IF(PaymentSchedule43[[#This Row],[PMT NO]]&lt;&gt;"",ScheduledPayment,"")</f>
        <v/>
      </c>
      <c r="F32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2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26" s="32" t="str">
        <f>IF(PaymentSchedule43[[#This Row],[PMT NO]]&lt;&gt;"",PaymentSchedule43[[#This Row],[TOTAL PAYMENT]]-PaymentSchedule43[[#This Row],[INTEREST]],"")</f>
        <v/>
      </c>
      <c r="I326" s="32" t="str">
        <f>IF(PaymentSchedule43[[#This Row],[PMT NO]]&lt;&gt;"",PaymentSchedule43[[#This Row],[BEGINNING BALANCE]]*(InterestRate/PaymentsPerYear),"")</f>
        <v/>
      </c>
      <c r="J32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26" s="32" t="str">
        <f>IF(PaymentSchedule43[[#This Row],[PMT NO]]&lt;&gt;"",SUM(INDEX(PaymentSchedule43[INTEREST],1,1):PaymentSchedule43[[#This Row],[INTEREST]]),"")</f>
        <v/>
      </c>
    </row>
    <row r="327" spans="2:11" x14ac:dyDescent="0.3">
      <c r="B327" s="30" t="str">
        <f>IF(LoanIsGood,IF(ROW()-ROW(PaymentSchedule43[[#Headers],[PMT NO]])&gt;ScheduledNumberOfPayments,"",ROW()-ROW(PaymentSchedule43[[#Headers],[PMT NO]])),"")</f>
        <v/>
      </c>
      <c r="C327" s="31" t="str">
        <f>IF(PaymentSchedule43[[#This Row],[PMT NO]]&lt;&gt;"",EOMONTH(LoanStartDate,ROW(PaymentSchedule43[[#This Row],[PMT NO]])-ROW(PaymentSchedule43[[#Headers],[PMT NO]])-2)+DAY(LoanStartDate),"")</f>
        <v/>
      </c>
      <c r="D32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27" s="32" t="str">
        <f>IF(PaymentSchedule43[[#This Row],[PMT NO]]&lt;&gt;"",ScheduledPayment,"")</f>
        <v/>
      </c>
      <c r="F32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2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27" s="32" t="str">
        <f>IF(PaymentSchedule43[[#This Row],[PMT NO]]&lt;&gt;"",PaymentSchedule43[[#This Row],[TOTAL PAYMENT]]-PaymentSchedule43[[#This Row],[INTEREST]],"")</f>
        <v/>
      </c>
      <c r="I327" s="32" t="str">
        <f>IF(PaymentSchedule43[[#This Row],[PMT NO]]&lt;&gt;"",PaymentSchedule43[[#This Row],[BEGINNING BALANCE]]*(InterestRate/PaymentsPerYear),"")</f>
        <v/>
      </c>
      <c r="J32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27" s="32" t="str">
        <f>IF(PaymentSchedule43[[#This Row],[PMT NO]]&lt;&gt;"",SUM(INDEX(PaymentSchedule43[INTEREST],1,1):PaymentSchedule43[[#This Row],[INTEREST]]),"")</f>
        <v/>
      </c>
    </row>
    <row r="328" spans="2:11" x14ac:dyDescent="0.3">
      <c r="B328" s="30" t="str">
        <f>IF(LoanIsGood,IF(ROW()-ROW(PaymentSchedule43[[#Headers],[PMT NO]])&gt;ScheduledNumberOfPayments,"",ROW()-ROW(PaymentSchedule43[[#Headers],[PMT NO]])),"")</f>
        <v/>
      </c>
      <c r="C328" s="31" t="str">
        <f>IF(PaymentSchedule43[[#This Row],[PMT NO]]&lt;&gt;"",EOMONTH(LoanStartDate,ROW(PaymentSchedule43[[#This Row],[PMT NO]])-ROW(PaymentSchedule43[[#Headers],[PMT NO]])-2)+DAY(LoanStartDate),"")</f>
        <v/>
      </c>
      <c r="D32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28" s="32" t="str">
        <f>IF(PaymentSchedule43[[#This Row],[PMT NO]]&lt;&gt;"",ScheduledPayment,"")</f>
        <v/>
      </c>
      <c r="F32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2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28" s="32" t="str">
        <f>IF(PaymentSchedule43[[#This Row],[PMT NO]]&lt;&gt;"",PaymentSchedule43[[#This Row],[TOTAL PAYMENT]]-PaymentSchedule43[[#This Row],[INTEREST]],"")</f>
        <v/>
      </c>
      <c r="I328" s="32" t="str">
        <f>IF(PaymentSchedule43[[#This Row],[PMT NO]]&lt;&gt;"",PaymentSchedule43[[#This Row],[BEGINNING BALANCE]]*(InterestRate/PaymentsPerYear),"")</f>
        <v/>
      </c>
      <c r="J32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28" s="32" t="str">
        <f>IF(PaymentSchedule43[[#This Row],[PMT NO]]&lt;&gt;"",SUM(INDEX(PaymentSchedule43[INTEREST],1,1):PaymentSchedule43[[#This Row],[INTEREST]]),"")</f>
        <v/>
      </c>
    </row>
    <row r="329" spans="2:11" x14ac:dyDescent="0.3">
      <c r="B329" s="30" t="str">
        <f>IF(LoanIsGood,IF(ROW()-ROW(PaymentSchedule43[[#Headers],[PMT NO]])&gt;ScheduledNumberOfPayments,"",ROW()-ROW(PaymentSchedule43[[#Headers],[PMT NO]])),"")</f>
        <v/>
      </c>
      <c r="C329" s="31" t="str">
        <f>IF(PaymentSchedule43[[#This Row],[PMT NO]]&lt;&gt;"",EOMONTH(LoanStartDate,ROW(PaymentSchedule43[[#This Row],[PMT NO]])-ROW(PaymentSchedule43[[#Headers],[PMT NO]])-2)+DAY(LoanStartDate),"")</f>
        <v/>
      </c>
      <c r="D32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29" s="32" t="str">
        <f>IF(PaymentSchedule43[[#This Row],[PMT NO]]&lt;&gt;"",ScheduledPayment,"")</f>
        <v/>
      </c>
      <c r="F32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2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29" s="32" t="str">
        <f>IF(PaymentSchedule43[[#This Row],[PMT NO]]&lt;&gt;"",PaymentSchedule43[[#This Row],[TOTAL PAYMENT]]-PaymentSchedule43[[#This Row],[INTEREST]],"")</f>
        <v/>
      </c>
      <c r="I329" s="32" t="str">
        <f>IF(PaymentSchedule43[[#This Row],[PMT NO]]&lt;&gt;"",PaymentSchedule43[[#This Row],[BEGINNING BALANCE]]*(InterestRate/PaymentsPerYear),"")</f>
        <v/>
      </c>
      <c r="J32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29" s="32" t="str">
        <f>IF(PaymentSchedule43[[#This Row],[PMT NO]]&lt;&gt;"",SUM(INDEX(PaymentSchedule43[INTEREST],1,1):PaymentSchedule43[[#This Row],[INTEREST]]),"")</f>
        <v/>
      </c>
    </row>
    <row r="330" spans="2:11" x14ac:dyDescent="0.3">
      <c r="B330" s="30" t="str">
        <f>IF(LoanIsGood,IF(ROW()-ROW(PaymentSchedule43[[#Headers],[PMT NO]])&gt;ScheduledNumberOfPayments,"",ROW()-ROW(PaymentSchedule43[[#Headers],[PMT NO]])),"")</f>
        <v/>
      </c>
      <c r="C330" s="31" t="str">
        <f>IF(PaymentSchedule43[[#This Row],[PMT NO]]&lt;&gt;"",EOMONTH(LoanStartDate,ROW(PaymentSchedule43[[#This Row],[PMT NO]])-ROW(PaymentSchedule43[[#Headers],[PMT NO]])-2)+DAY(LoanStartDate),"")</f>
        <v/>
      </c>
      <c r="D33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30" s="32" t="str">
        <f>IF(PaymentSchedule43[[#This Row],[PMT NO]]&lt;&gt;"",ScheduledPayment,"")</f>
        <v/>
      </c>
      <c r="F33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3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30" s="32" t="str">
        <f>IF(PaymentSchedule43[[#This Row],[PMT NO]]&lt;&gt;"",PaymentSchedule43[[#This Row],[TOTAL PAYMENT]]-PaymentSchedule43[[#This Row],[INTEREST]],"")</f>
        <v/>
      </c>
      <c r="I330" s="32" t="str">
        <f>IF(PaymentSchedule43[[#This Row],[PMT NO]]&lt;&gt;"",PaymentSchedule43[[#This Row],[BEGINNING BALANCE]]*(InterestRate/PaymentsPerYear),"")</f>
        <v/>
      </c>
      <c r="J33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30" s="32" t="str">
        <f>IF(PaymentSchedule43[[#This Row],[PMT NO]]&lt;&gt;"",SUM(INDEX(PaymentSchedule43[INTEREST],1,1):PaymentSchedule43[[#This Row],[INTEREST]]),"")</f>
        <v/>
      </c>
    </row>
    <row r="331" spans="2:11" x14ac:dyDescent="0.3">
      <c r="B331" s="30" t="str">
        <f>IF(LoanIsGood,IF(ROW()-ROW(PaymentSchedule43[[#Headers],[PMT NO]])&gt;ScheduledNumberOfPayments,"",ROW()-ROW(PaymentSchedule43[[#Headers],[PMT NO]])),"")</f>
        <v/>
      </c>
      <c r="C331" s="31" t="str">
        <f>IF(PaymentSchedule43[[#This Row],[PMT NO]]&lt;&gt;"",EOMONTH(LoanStartDate,ROW(PaymentSchedule43[[#This Row],[PMT NO]])-ROW(PaymentSchedule43[[#Headers],[PMT NO]])-2)+DAY(LoanStartDate),"")</f>
        <v/>
      </c>
      <c r="D33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31" s="32" t="str">
        <f>IF(PaymentSchedule43[[#This Row],[PMT NO]]&lt;&gt;"",ScheduledPayment,"")</f>
        <v/>
      </c>
      <c r="F33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3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31" s="32" t="str">
        <f>IF(PaymentSchedule43[[#This Row],[PMT NO]]&lt;&gt;"",PaymentSchedule43[[#This Row],[TOTAL PAYMENT]]-PaymentSchedule43[[#This Row],[INTEREST]],"")</f>
        <v/>
      </c>
      <c r="I331" s="32" t="str">
        <f>IF(PaymentSchedule43[[#This Row],[PMT NO]]&lt;&gt;"",PaymentSchedule43[[#This Row],[BEGINNING BALANCE]]*(InterestRate/PaymentsPerYear),"")</f>
        <v/>
      </c>
      <c r="J33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31" s="32" t="str">
        <f>IF(PaymentSchedule43[[#This Row],[PMT NO]]&lt;&gt;"",SUM(INDEX(PaymentSchedule43[INTEREST],1,1):PaymentSchedule43[[#This Row],[INTEREST]]),"")</f>
        <v/>
      </c>
    </row>
    <row r="332" spans="2:11" x14ac:dyDescent="0.3">
      <c r="B332" s="30" t="str">
        <f>IF(LoanIsGood,IF(ROW()-ROW(PaymentSchedule43[[#Headers],[PMT NO]])&gt;ScheduledNumberOfPayments,"",ROW()-ROW(PaymentSchedule43[[#Headers],[PMT NO]])),"")</f>
        <v/>
      </c>
      <c r="C332" s="31" t="str">
        <f>IF(PaymentSchedule43[[#This Row],[PMT NO]]&lt;&gt;"",EOMONTH(LoanStartDate,ROW(PaymentSchedule43[[#This Row],[PMT NO]])-ROW(PaymentSchedule43[[#Headers],[PMT NO]])-2)+DAY(LoanStartDate),"")</f>
        <v/>
      </c>
      <c r="D33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32" s="32" t="str">
        <f>IF(PaymentSchedule43[[#This Row],[PMT NO]]&lt;&gt;"",ScheduledPayment,"")</f>
        <v/>
      </c>
      <c r="F33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3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32" s="32" t="str">
        <f>IF(PaymentSchedule43[[#This Row],[PMT NO]]&lt;&gt;"",PaymentSchedule43[[#This Row],[TOTAL PAYMENT]]-PaymentSchedule43[[#This Row],[INTEREST]],"")</f>
        <v/>
      </c>
      <c r="I332" s="32" t="str">
        <f>IF(PaymentSchedule43[[#This Row],[PMT NO]]&lt;&gt;"",PaymentSchedule43[[#This Row],[BEGINNING BALANCE]]*(InterestRate/PaymentsPerYear),"")</f>
        <v/>
      </c>
      <c r="J33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32" s="32" t="str">
        <f>IF(PaymentSchedule43[[#This Row],[PMT NO]]&lt;&gt;"",SUM(INDEX(PaymentSchedule43[INTEREST],1,1):PaymentSchedule43[[#This Row],[INTEREST]]),"")</f>
        <v/>
      </c>
    </row>
    <row r="333" spans="2:11" x14ac:dyDescent="0.3">
      <c r="B333" s="30" t="str">
        <f>IF(LoanIsGood,IF(ROW()-ROW(PaymentSchedule43[[#Headers],[PMT NO]])&gt;ScheduledNumberOfPayments,"",ROW()-ROW(PaymentSchedule43[[#Headers],[PMT NO]])),"")</f>
        <v/>
      </c>
      <c r="C333" s="31" t="str">
        <f>IF(PaymentSchedule43[[#This Row],[PMT NO]]&lt;&gt;"",EOMONTH(LoanStartDate,ROW(PaymentSchedule43[[#This Row],[PMT NO]])-ROW(PaymentSchedule43[[#Headers],[PMT NO]])-2)+DAY(LoanStartDate),"")</f>
        <v/>
      </c>
      <c r="D33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33" s="32" t="str">
        <f>IF(PaymentSchedule43[[#This Row],[PMT NO]]&lt;&gt;"",ScheduledPayment,"")</f>
        <v/>
      </c>
      <c r="F33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3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33" s="32" t="str">
        <f>IF(PaymentSchedule43[[#This Row],[PMT NO]]&lt;&gt;"",PaymentSchedule43[[#This Row],[TOTAL PAYMENT]]-PaymentSchedule43[[#This Row],[INTEREST]],"")</f>
        <v/>
      </c>
      <c r="I333" s="32" t="str">
        <f>IF(PaymentSchedule43[[#This Row],[PMT NO]]&lt;&gt;"",PaymentSchedule43[[#This Row],[BEGINNING BALANCE]]*(InterestRate/PaymentsPerYear),"")</f>
        <v/>
      </c>
      <c r="J33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33" s="32" t="str">
        <f>IF(PaymentSchedule43[[#This Row],[PMT NO]]&lt;&gt;"",SUM(INDEX(PaymentSchedule43[INTEREST],1,1):PaymentSchedule43[[#This Row],[INTEREST]]),"")</f>
        <v/>
      </c>
    </row>
    <row r="334" spans="2:11" x14ac:dyDescent="0.3">
      <c r="B334" s="30" t="str">
        <f>IF(LoanIsGood,IF(ROW()-ROW(PaymentSchedule43[[#Headers],[PMT NO]])&gt;ScheduledNumberOfPayments,"",ROW()-ROW(PaymentSchedule43[[#Headers],[PMT NO]])),"")</f>
        <v/>
      </c>
      <c r="C334" s="31" t="str">
        <f>IF(PaymentSchedule43[[#This Row],[PMT NO]]&lt;&gt;"",EOMONTH(LoanStartDate,ROW(PaymentSchedule43[[#This Row],[PMT NO]])-ROW(PaymentSchedule43[[#Headers],[PMT NO]])-2)+DAY(LoanStartDate),"")</f>
        <v/>
      </c>
      <c r="D33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34" s="32" t="str">
        <f>IF(PaymentSchedule43[[#This Row],[PMT NO]]&lt;&gt;"",ScheduledPayment,"")</f>
        <v/>
      </c>
      <c r="F33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3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34" s="32" t="str">
        <f>IF(PaymentSchedule43[[#This Row],[PMT NO]]&lt;&gt;"",PaymentSchedule43[[#This Row],[TOTAL PAYMENT]]-PaymentSchedule43[[#This Row],[INTEREST]],"")</f>
        <v/>
      </c>
      <c r="I334" s="32" t="str">
        <f>IF(PaymentSchedule43[[#This Row],[PMT NO]]&lt;&gt;"",PaymentSchedule43[[#This Row],[BEGINNING BALANCE]]*(InterestRate/PaymentsPerYear),"")</f>
        <v/>
      </c>
      <c r="J33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34" s="32" t="str">
        <f>IF(PaymentSchedule43[[#This Row],[PMT NO]]&lt;&gt;"",SUM(INDEX(PaymentSchedule43[INTEREST],1,1):PaymentSchedule43[[#This Row],[INTEREST]]),"")</f>
        <v/>
      </c>
    </row>
    <row r="335" spans="2:11" x14ac:dyDescent="0.3">
      <c r="B335" s="30" t="str">
        <f>IF(LoanIsGood,IF(ROW()-ROW(PaymentSchedule43[[#Headers],[PMT NO]])&gt;ScheduledNumberOfPayments,"",ROW()-ROW(PaymentSchedule43[[#Headers],[PMT NO]])),"")</f>
        <v/>
      </c>
      <c r="C335" s="31" t="str">
        <f>IF(PaymentSchedule43[[#This Row],[PMT NO]]&lt;&gt;"",EOMONTH(LoanStartDate,ROW(PaymentSchedule43[[#This Row],[PMT NO]])-ROW(PaymentSchedule43[[#Headers],[PMT NO]])-2)+DAY(LoanStartDate),"")</f>
        <v/>
      </c>
      <c r="D33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35" s="32" t="str">
        <f>IF(PaymentSchedule43[[#This Row],[PMT NO]]&lt;&gt;"",ScheduledPayment,"")</f>
        <v/>
      </c>
      <c r="F33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3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35" s="32" t="str">
        <f>IF(PaymentSchedule43[[#This Row],[PMT NO]]&lt;&gt;"",PaymentSchedule43[[#This Row],[TOTAL PAYMENT]]-PaymentSchedule43[[#This Row],[INTEREST]],"")</f>
        <v/>
      </c>
      <c r="I335" s="32" t="str">
        <f>IF(PaymentSchedule43[[#This Row],[PMT NO]]&lt;&gt;"",PaymentSchedule43[[#This Row],[BEGINNING BALANCE]]*(InterestRate/PaymentsPerYear),"")</f>
        <v/>
      </c>
      <c r="J33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35" s="32" t="str">
        <f>IF(PaymentSchedule43[[#This Row],[PMT NO]]&lt;&gt;"",SUM(INDEX(PaymentSchedule43[INTEREST],1,1):PaymentSchedule43[[#This Row],[INTEREST]]),"")</f>
        <v/>
      </c>
    </row>
    <row r="336" spans="2:11" x14ac:dyDescent="0.3">
      <c r="B336" s="30" t="str">
        <f>IF(LoanIsGood,IF(ROW()-ROW(PaymentSchedule43[[#Headers],[PMT NO]])&gt;ScheduledNumberOfPayments,"",ROW()-ROW(PaymentSchedule43[[#Headers],[PMT NO]])),"")</f>
        <v/>
      </c>
      <c r="C336" s="31" t="str">
        <f>IF(PaymentSchedule43[[#This Row],[PMT NO]]&lt;&gt;"",EOMONTH(LoanStartDate,ROW(PaymentSchedule43[[#This Row],[PMT NO]])-ROW(PaymentSchedule43[[#Headers],[PMT NO]])-2)+DAY(LoanStartDate),"")</f>
        <v/>
      </c>
      <c r="D33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36" s="32" t="str">
        <f>IF(PaymentSchedule43[[#This Row],[PMT NO]]&lt;&gt;"",ScheduledPayment,"")</f>
        <v/>
      </c>
      <c r="F33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3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36" s="32" t="str">
        <f>IF(PaymentSchedule43[[#This Row],[PMT NO]]&lt;&gt;"",PaymentSchedule43[[#This Row],[TOTAL PAYMENT]]-PaymentSchedule43[[#This Row],[INTEREST]],"")</f>
        <v/>
      </c>
      <c r="I336" s="32" t="str">
        <f>IF(PaymentSchedule43[[#This Row],[PMT NO]]&lt;&gt;"",PaymentSchedule43[[#This Row],[BEGINNING BALANCE]]*(InterestRate/PaymentsPerYear),"")</f>
        <v/>
      </c>
      <c r="J33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36" s="32" t="str">
        <f>IF(PaymentSchedule43[[#This Row],[PMT NO]]&lt;&gt;"",SUM(INDEX(PaymentSchedule43[INTEREST],1,1):PaymentSchedule43[[#This Row],[INTEREST]]),"")</f>
        <v/>
      </c>
    </row>
    <row r="337" spans="2:11" x14ac:dyDescent="0.3">
      <c r="B337" s="30" t="str">
        <f>IF(LoanIsGood,IF(ROW()-ROW(PaymentSchedule43[[#Headers],[PMT NO]])&gt;ScheduledNumberOfPayments,"",ROW()-ROW(PaymentSchedule43[[#Headers],[PMT NO]])),"")</f>
        <v/>
      </c>
      <c r="C337" s="31" t="str">
        <f>IF(PaymentSchedule43[[#This Row],[PMT NO]]&lt;&gt;"",EOMONTH(LoanStartDate,ROW(PaymentSchedule43[[#This Row],[PMT NO]])-ROW(PaymentSchedule43[[#Headers],[PMT NO]])-2)+DAY(LoanStartDate),"")</f>
        <v/>
      </c>
      <c r="D33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37" s="32" t="str">
        <f>IF(PaymentSchedule43[[#This Row],[PMT NO]]&lt;&gt;"",ScheduledPayment,"")</f>
        <v/>
      </c>
      <c r="F33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3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37" s="32" t="str">
        <f>IF(PaymentSchedule43[[#This Row],[PMT NO]]&lt;&gt;"",PaymentSchedule43[[#This Row],[TOTAL PAYMENT]]-PaymentSchedule43[[#This Row],[INTEREST]],"")</f>
        <v/>
      </c>
      <c r="I337" s="32" t="str">
        <f>IF(PaymentSchedule43[[#This Row],[PMT NO]]&lt;&gt;"",PaymentSchedule43[[#This Row],[BEGINNING BALANCE]]*(InterestRate/PaymentsPerYear),"")</f>
        <v/>
      </c>
      <c r="J33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37" s="32" t="str">
        <f>IF(PaymentSchedule43[[#This Row],[PMT NO]]&lt;&gt;"",SUM(INDEX(PaymentSchedule43[INTEREST],1,1):PaymentSchedule43[[#This Row],[INTEREST]]),"")</f>
        <v/>
      </c>
    </row>
    <row r="338" spans="2:11" x14ac:dyDescent="0.3">
      <c r="B338" s="30" t="str">
        <f>IF(LoanIsGood,IF(ROW()-ROW(PaymentSchedule43[[#Headers],[PMT NO]])&gt;ScheduledNumberOfPayments,"",ROW()-ROW(PaymentSchedule43[[#Headers],[PMT NO]])),"")</f>
        <v/>
      </c>
      <c r="C338" s="31" t="str">
        <f>IF(PaymentSchedule43[[#This Row],[PMT NO]]&lt;&gt;"",EOMONTH(LoanStartDate,ROW(PaymentSchedule43[[#This Row],[PMT NO]])-ROW(PaymentSchedule43[[#Headers],[PMT NO]])-2)+DAY(LoanStartDate),"")</f>
        <v/>
      </c>
      <c r="D33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38" s="32" t="str">
        <f>IF(PaymentSchedule43[[#This Row],[PMT NO]]&lt;&gt;"",ScheduledPayment,"")</f>
        <v/>
      </c>
      <c r="F33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3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38" s="32" t="str">
        <f>IF(PaymentSchedule43[[#This Row],[PMT NO]]&lt;&gt;"",PaymentSchedule43[[#This Row],[TOTAL PAYMENT]]-PaymentSchedule43[[#This Row],[INTEREST]],"")</f>
        <v/>
      </c>
      <c r="I338" s="32" t="str">
        <f>IF(PaymentSchedule43[[#This Row],[PMT NO]]&lt;&gt;"",PaymentSchedule43[[#This Row],[BEGINNING BALANCE]]*(InterestRate/PaymentsPerYear),"")</f>
        <v/>
      </c>
      <c r="J33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38" s="32" t="str">
        <f>IF(PaymentSchedule43[[#This Row],[PMT NO]]&lt;&gt;"",SUM(INDEX(PaymentSchedule43[INTEREST],1,1):PaymentSchedule43[[#This Row],[INTEREST]]),"")</f>
        <v/>
      </c>
    </row>
    <row r="339" spans="2:11" x14ac:dyDescent="0.3">
      <c r="B339" s="30" t="str">
        <f>IF(LoanIsGood,IF(ROW()-ROW(PaymentSchedule43[[#Headers],[PMT NO]])&gt;ScheduledNumberOfPayments,"",ROW()-ROW(PaymentSchedule43[[#Headers],[PMT NO]])),"")</f>
        <v/>
      </c>
      <c r="C339" s="31" t="str">
        <f>IF(PaymentSchedule43[[#This Row],[PMT NO]]&lt;&gt;"",EOMONTH(LoanStartDate,ROW(PaymentSchedule43[[#This Row],[PMT NO]])-ROW(PaymentSchedule43[[#Headers],[PMT NO]])-2)+DAY(LoanStartDate),"")</f>
        <v/>
      </c>
      <c r="D33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39" s="32" t="str">
        <f>IF(PaymentSchedule43[[#This Row],[PMT NO]]&lt;&gt;"",ScheduledPayment,"")</f>
        <v/>
      </c>
      <c r="F33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3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39" s="32" t="str">
        <f>IF(PaymentSchedule43[[#This Row],[PMT NO]]&lt;&gt;"",PaymentSchedule43[[#This Row],[TOTAL PAYMENT]]-PaymentSchedule43[[#This Row],[INTEREST]],"")</f>
        <v/>
      </c>
      <c r="I339" s="32" t="str">
        <f>IF(PaymentSchedule43[[#This Row],[PMT NO]]&lt;&gt;"",PaymentSchedule43[[#This Row],[BEGINNING BALANCE]]*(InterestRate/PaymentsPerYear),"")</f>
        <v/>
      </c>
      <c r="J33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39" s="32" t="str">
        <f>IF(PaymentSchedule43[[#This Row],[PMT NO]]&lt;&gt;"",SUM(INDEX(PaymentSchedule43[INTEREST],1,1):PaymentSchedule43[[#This Row],[INTEREST]]),"")</f>
        <v/>
      </c>
    </row>
    <row r="340" spans="2:11" x14ac:dyDescent="0.3">
      <c r="B340" s="30" t="str">
        <f>IF(LoanIsGood,IF(ROW()-ROW(PaymentSchedule43[[#Headers],[PMT NO]])&gt;ScheduledNumberOfPayments,"",ROW()-ROW(PaymentSchedule43[[#Headers],[PMT NO]])),"")</f>
        <v/>
      </c>
      <c r="C340" s="31" t="str">
        <f>IF(PaymentSchedule43[[#This Row],[PMT NO]]&lt;&gt;"",EOMONTH(LoanStartDate,ROW(PaymentSchedule43[[#This Row],[PMT NO]])-ROW(PaymentSchedule43[[#Headers],[PMT NO]])-2)+DAY(LoanStartDate),"")</f>
        <v/>
      </c>
      <c r="D34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40" s="32" t="str">
        <f>IF(PaymentSchedule43[[#This Row],[PMT NO]]&lt;&gt;"",ScheduledPayment,"")</f>
        <v/>
      </c>
      <c r="F34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4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40" s="32" t="str">
        <f>IF(PaymentSchedule43[[#This Row],[PMT NO]]&lt;&gt;"",PaymentSchedule43[[#This Row],[TOTAL PAYMENT]]-PaymentSchedule43[[#This Row],[INTEREST]],"")</f>
        <v/>
      </c>
      <c r="I340" s="32" t="str">
        <f>IF(PaymentSchedule43[[#This Row],[PMT NO]]&lt;&gt;"",PaymentSchedule43[[#This Row],[BEGINNING BALANCE]]*(InterestRate/PaymentsPerYear),"")</f>
        <v/>
      </c>
      <c r="J34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40" s="32" t="str">
        <f>IF(PaymentSchedule43[[#This Row],[PMT NO]]&lt;&gt;"",SUM(INDEX(PaymentSchedule43[INTEREST],1,1):PaymentSchedule43[[#This Row],[INTEREST]]),"")</f>
        <v/>
      </c>
    </row>
    <row r="341" spans="2:11" x14ac:dyDescent="0.3">
      <c r="B341" s="30" t="str">
        <f>IF(LoanIsGood,IF(ROW()-ROW(PaymentSchedule43[[#Headers],[PMT NO]])&gt;ScheduledNumberOfPayments,"",ROW()-ROW(PaymentSchedule43[[#Headers],[PMT NO]])),"")</f>
        <v/>
      </c>
      <c r="C341" s="31" t="str">
        <f>IF(PaymentSchedule43[[#This Row],[PMT NO]]&lt;&gt;"",EOMONTH(LoanStartDate,ROW(PaymentSchedule43[[#This Row],[PMT NO]])-ROW(PaymentSchedule43[[#Headers],[PMT NO]])-2)+DAY(LoanStartDate),"")</f>
        <v/>
      </c>
      <c r="D34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41" s="32" t="str">
        <f>IF(PaymentSchedule43[[#This Row],[PMT NO]]&lt;&gt;"",ScheduledPayment,"")</f>
        <v/>
      </c>
      <c r="F34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4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41" s="32" t="str">
        <f>IF(PaymentSchedule43[[#This Row],[PMT NO]]&lt;&gt;"",PaymentSchedule43[[#This Row],[TOTAL PAYMENT]]-PaymentSchedule43[[#This Row],[INTEREST]],"")</f>
        <v/>
      </c>
      <c r="I341" s="32" t="str">
        <f>IF(PaymentSchedule43[[#This Row],[PMT NO]]&lt;&gt;"",PaymentSchedule43[[#This Row],[BEGINNING BALANCE]]*(InterestRate/PaymentsPerYear),"")</f>
        <v/>
      </c>
      <c r="J34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41" s="32" t="str">
        <f>IF(PaymentSchedule43[[#This Row],[PMT NO]]&lt;&gt;"",SUM(INDEX(PaymentSchedule43[INTEREST],1,1):PaymentSchedule43[[#This Row],[INTEREST]]),"")</f>
        <v/>
      </c>
    </row>
    <row r="342" spans="2:11" x14ac:dyDescent="0.3">
      <c r="B342" s="30" t="str">
        <f>IF(LoanIsGood,IF(ROW()-ROW(PaymentSchedule43[[#Headers],[PMT NO]])&gt;ScheduledNumberOfPayments,"",ROW()-ROW(PaymentSchedule43[[#Headers],[PMT NO]])),"")</f>
        <v/>
      </c>
      <c r="C342" s="31" t="str">
        <f>IF(PaymentSchedule43[[#This Row],[PMT NO]]&lt;&gt;"",EOMONTH(LoanStartDate,ROW(PaymentSchedule43[[#This Row],[PMT NO]])-ROW(PaymentSchedule43[[#Headers],[PMT NO]])-2)+DAY(LoanStartDate),"")</f>
        <v/>
      </c>
      <c r="D34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42" s="32" t="str">
        <f>IF(PaymentSchedule43[[#This Row],[PMT NO]]&lt;&gt;"",ScheduledPayment,"")</f>
        <v/>
      </c>
      <c r="F34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4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42" s="32" t="str">
        <f>IF(PaymentSchedule43[[#This Row],[PMT NO]]&lt;&gt;"",PaymentSchedule43[[#This Row],[TOTAL PAYMENT]]-PaymentSchedule43[[#This Row],[INTEREST]],"")</f>
        <v/>
      </c>
      <c r="I342" s="32" t="str">
        <f>IF(PaymentSchedule43[[#This Row],[PMT NO]]&lt;&gt;"",PaymentSchedule43[[#This Row],[BEGINNING BALANCE]]*(InterestRate/PaymentsPerYear),"")</f>
        <v/>
      </c>
      <c r="J34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42" s="32" t="str">
        <f>IF(PaymentSchedule43[[#This Row],[PMT NO]]&lt;&gt;"",SUM(INDEX(PaymentSchedule43[INTEREST],1,1):PaymentSchedule43[[#This Row],[INTEREST]]),"")</f>
        <v/>
      </c>
    </row>
    <row r="343" spans="2:11" x14ac:dyDescent="0.3">
      <c r="B343" s="30" t="str">
        <f>IF(LoanIsGood,IF(ROW()-ROW(PaymentSchedule43[[#Headers],[PMT NO]])&gt;ScheduledNumberOfPayments,"",ROW()-ROW(PaymentSchedule43[[#Headers],[PMT NO]])),"")</f>
        <v/>
      </c>
      <c r="C343" s="31" t="str">
        <f>IF(PaymentSchedule43[[#This Row],[PMT NO]]&lt;&gt;"",EOMONTH(LoanStartDate,ROW(PaymentSchedule43[[#This Row],[PMT NO]])-ROW(PaymentSchedule43[[#Headers],[PMT NO]])-2)+DAY(LoanStartDate),"")</f>
        <v/>
      </c>
      <c r="D34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43" s="32" t="str">
        <f>IF(PaymentSchedule43[[#This Row],[PMT NO]]&lt;&gt;"",ScheduledPayment,"")</f>
        <v/>
      </c>
      <c r="F34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4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43" s="32" t="str">
        <f>IF(PaymentSchedule43[[#This Row],[PMT NO]]&lt;&gt;"",PaymentSchedule43[[#This Row],[TOTAL PAYMENT]]-PaymentSchedule43[[#This Row],[INTEREST]],"")</f>
        <v/>
      </c>
      <c r="I343" s="32" t="str">
        <f>IF(PaymentSchedule43[[#This Row],[PMT NO]]&lt;&gt;"",PaymentSchedule43[[#This Row],[BEGINNING BALANCE]]*(InterestRate/PaymentsPerYear),"")</f>
        <v/>
      </c>
      <c r="J34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43" s="32" t="str">
        <f>IF(PaymentSchedule43[[#This Row],[PMT NO]]&lt;&gt;"",SUM(INDEX(PaymentSchedule43[INTEREST],1,1):PaymentSchedule43[[#This Row],[INTEREST]]),"")</f>
        <v/>
      </c>
    </row>
    <row r="344" spans="2:11" x14ac:dyDescent="0.3">
      <c r="B344" s="30" t="str">
        <f>IF(LoanIsGood,IF(ROW()-ROW(PaymentSchedule43[[#Headers],[PMT NO]])&gt;ScheduledNumberOfPayments,"",ROW()-ROW(PaymentSchedule43[[#Headers],[PMT NO]])),"")</f>
        <v/>
      </c>
      <c r="C344" s="31" t="str">
        <f>IF(PaymentSchedule43[[#This Row],[PMT NO]]&lt;&gt;"",EOMONTH(LoanStartDate,ROW(PaymentSchedule43[[#This Row],[PMT NO]])-ROW(PaymentSchedule43[[#Headers],[PMT NO]])-2)+DAY(LoanStartDate),"")</f>
        <v/>
      </c>
      <c r="D34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44" s="32" t="str">
        <f>IF(PaymentSchedule43[[#This Row],[PMT NO]]&lt;&gt;"",ScheduledPayment,"")</f>
        <v/>
      </c>
      <c r="F34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4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44" s="32" t="str">
        <f>IF(PaymentSchedule43[[#This Row],[PMT NO]]&lt;&gt;"",PaymentSchedule43[[#This Row],[TOTAL PAYMENT]]-PaymentSchedule43[[#This Row],[INTEREST]],"")</f>
        <v/>
      </c>
      <c r="I344" s="32" t="str">
        <f>IF(PaymentSchedule43[[#This Row],[PMT NO]]&lt;&gt;"",PaymentSchedule43[[#This Row],[BEGINNING BALANCE]]*(InterestRate/PaymentsPerYear),"")</f>
        <v/>
      </c>
      <c r="J34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44" s="32" t="str">
        <f>IF(PaymentSchedule43[[#This Row],[PMT NO]]&lt;&gt;"",SUM(INDEX(PaymentSchedule43[INTEREST],1,1):PaymentSchedule43[[#This Row],[INTEREST]]),"")</f>
        <v/>
      </c>
    </row>
    <row r="345" spans="2:11" x14ac:dyDescent="0.3">
      <c r="B345" s="30" t="str">
        <f>IF(LoanIsGood,IF(ROW()-ROW(PaymentSchedule43[[#Headers],[PMT NO]])&gt;ScheduledNumberOfPayments,"",ROW()-ROW(PaymentSchedule43[[#Headers],[PMT NO]])),"")</f>
        <v/>
      </c>
      <c r="C345" s="31" t="str">
        <f>IF(PaymentSchedule43[[#This Row],[PMT NO]]&lt;&gt;"",EOMONTH(LoanStartDate,ROW(PaymentSchedule43[[#This Row],[PMT NO]])-ROW(PaymentSchedule43[[#Headers],[PMT NO]])-2)+DAY(LoanStartDate),"")</f>
        <v/>
      </c>
      <c r="D34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45" s="32" t="str">
        <f>IF(PaymentSchedule43[[#This Row],[PMT NO]]&lt;&gt;"",ScheduledPayment,"")</f>
        <v/>
      </c>
      <c r="F34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4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45" s="32" t="str">
        <f>IF(PaymentSchedule43[[#This Row],[PMT NO]]&lt;&gt;"",PaymentSchedule43[[#This Row],[TOTAL PAYMENT]]-PaymentSchedule43[[#This Row],[INTEREST]],"")</f>
        <v/>
      </c>
      <c r="I345" s="32" t="str">
        <f>IF(PaymentSchedule43[[#This Row],[PMT NO]]&lt;&gt;"",PaymentSchedule43[[#This Row],[BEGINNING BALANCE]]*(InterestRate/PaymentsPerYear),"")</f>
        <v/>
      </c>
      <c r="J34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45" s="32" t="str">
        <f>IF(PaymentSchedule43[[#This Row],[PMT NO]]&lt;&gt;"",SUM(INDEX(PaymentSchedule43[INTEREST],1,1):PaymentSchedule43[[#This Row],[INTEREST]]),"")</f>
        <v/>
      </c>
    </row>
    <row r="346" spans="2:11" x14ac:dyDescent="0.3">
      <c r="B346" s="30" t="str">
        <f>IF(LoanIsGood,IF(ROW()-ROW(PaymentSchedule43[[#Headers],[PMT NO]])&gt;ScheduledNumberOfPayments,"",ROW()-ROW(PaymentSchedule43[[#Headers],[PMT NO]])),"")</f>
        <v/>
      </c>
      <c r="C346" s="31" t="str">
        <f>IF(PaymentSchedule43[[#This Row],[PMT NO]]&lt;&gt;"",EOMONTH(LoanStartDate,ROW(PaymentSchedule43[[#This Row],[PMT NO]])-ROW(PaymentSchedule43[[#Headers],[PMT NO]])-2)+DAY(LoanStartDate),"")</f>
        <v/>
      </c>
      <c r="D34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46" s="32" t="str">
        <f>IF(PaymentSchedule43[[#This Row],[PMT NO]]&lt;&gt;"",ScheduledPayment,"")</f>
        <v/>
      </c>
      <c r="F34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4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46" s="32" t="str">
        <f>IF(PaymentSchedule43[[#This Row],[PMT NO]]&lt;&gt;"",PaymentSchedule43[[#This Row],[TOTAL PAYMENT]]-PaymentSchedule43[[#This Row],[INTEREST]],"")</f>
        <v/>
      </c>
      <c r="I346" s="32" t="str">
        <f>IF(PaymentSchedule43[[#This Row],[PMT NO]]&lt;&gt;"",PaymentSchedule43[[#This Row],[BEGINNING BALANCE]]*(InterestRate/PaymentsPerYear),"")</f>
        <v/>
      </c>
      <c r="J34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46" s="32" t="str">
        <f>IF(PaymentSchedule43[[#This Row],[PMT NO]]&lt;&gt;"",SUM(INDEX(PaymentSchedule43[INTEREST],1,1):PaymentSchedule43[[#This Row],[INTEREST]]),"")</f>
        <v/>
      </c>
    </row>
    <row r="347" spans="2:11" x14ac:dyDescent="0.3">
      <c r="B347" s="30" t="str">
        <f>IF(LoanIsGood,IF(ROW()-ROW(PaymentSchedule43[[#Headers],[PMT NO]])&gt;ScheduledNumberOfPayments,"",ROW()-ROW(PaymentSchedule43[[#Headers],[PMT NO]])),"")</f>
        <v/>
      </c>
      <c r="C347" s="31" t="str">
        <f>IF(PaymentSchedule43[[#This Row],[PMT NO]]&lt;&gt;"",EOMONTH(LoanStartDate,ROW(PaymentSchedule43[[#This Row],[PMT NO]])-ROW(PaymentSchedule43[[#Headers],[PMT NO]])-2)+DAY(LoanStartDate),"")</f>
        <v/>
      </c>
      <c r="D34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47" s="32" t="str">
        <f>IF(PaymentSchedule43[[#This Row],[PMT NO]]&lt;&gt;"",ScheduledPayment,"")</f>
        <v/>
      </c>
      <c r="F34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4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47" s="32" t="str">
        <f>IF(PaymentSchedule43[[#This Row],[PMT NO]]&lt;&gt;"",PaymentSchedule43[[#This Row],[TOTAL PAYMENT]]-PaymentSchedule43[[#This Row],[INTEREST]],"")</f>
        <v/>
      </c>
      <c r="I347" s="32" t="str">
        <f>IF(PaymentSchedule43[[#This Row],[PMT NO]]&lt;&gt;"",PaymentSchedule43[[#This Row],[BEGINNING BALANCE]]*(InterestRate/PaymentsPerYear),"")</f>
        <v/>
      </c>
      <c r="J34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47" s="32" t="str">
        <f>IF(PaymentSchedule43[[#This Row],[PMT NO]]&lt;&gt;"",SUM(INDEX(PaymentSchedule43[INTEREST],1,1):PaymentSchedule43[[#This Row],[INTEREST]]),"")</f>
        <v/>
      </c>
    </row>
    <row r="348" spans="2:11" x14ac:dyDescent="0.3">
      <c r="B348" s="30" t="str">
        <f>IF(LoanIsGood,IF(ROW()-ROW(PaymentSchedule43[[#Headers],[PMT NO]])&gt;ScheduledNumberOfPayments,"",ROW()-ROW(PaymentSchedule43[[#Headers],[PMT NO]])),"")</f>
        <v/>
      </c>
      <c r="C348" s="31" t="str">
        <f>IF(PaymentSchedule43[[#This Row],[PMT NO]]&lt;&gt;"",EOMONTH(LoanStartDate,ROW(PaymentSchedule43[[#This Row],[PMT NO]])-ROW(PaymentSchedule43[[#Headers],[PMT NO]])-2)+DAY(LoanStartDate),"")</f>
        <v/>
      </c>
      <c r="D34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48" s="32" t="str">
        <f>IF(PaymentSchedule43[[#This Row],[PMT NO]]&lt;&gt;"",ScheduledPayment,"")</f>
        <v/>
      </c>
      <c r="F34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4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48" s="32" t="str">
        <f>IF(PaymentSchedule43[[#This Row],[PMT NO]]&lt;&gt;"",PaymentSchedule43[[#This Row],[TOTAL PAYMENT]]-PaymentSchedule43[[#This Row],[INTEREST]],"")</f>
        <v/>
      </c>
      <c r="I348" s="32" t="str">
        <f>IF(PaymentSchedule43[[#This Row],[PMT NO]]&lt;&gt;"",PaymentSchedule43[[#This Row],[BEGINNING BALANCE]]*(InterestRate/PaymentsPerYear),"")</f>
        <v/>
      </c>
      <c r="J34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48" s="32" t="str">
        <f>IF(PaymentSchedule43[[#This Row],[PMT NO]]&lt;&gt;"",SUM(INDEX(PaymentSchedule43[INTEREST],1,1):PaymentSchedule43[[#This Row],[INTEREST]]),"")</f>
        <v/>
      </c>
    </row>
    <row r="349" spans="2:11" x14ac:dyDescent="0.3">
      <c r="B349" s="30" t="str">
        <f>IF(LoanIsGood,IF(ROW()-ROW(PaymentSchedule43[[#Headers],[PMT NO]])&gt;ScheduledNumberOfPayments,"",ROW()-ROW(PaymentSchedule43[[#Headers],[PMT NO]])),"")</f>
        <v/>
      </c>
      <c r="C349" s="31" t="str">
        <f>IF(PaymentSchedule43[[#This Row],[PMT NO]]&lt;&gt;"",EOMONTH(LoanStartDate,ROW(PaymentSchedule43[[#This Row],[PMT NO]])-ROW(PaymentSchedule43[[#Headers],[PMT NO]])-2)+DAY(LoanStartDate),"")</f>
        <v/>
      </c>
      <c r="D34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49" s="32" t="str">
        <f>IF(PaymentSchedule43[[#This Row],[PMT NO]]&lt;&gt;"",ScheduledPayment,"")</f>
        <v/>
      </c>
      <c r="F34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4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49" s="32" t="str">
        <f>IF(PaymentSchedule43[[#This Row],[PMT NO]]&lt;&gt;"",PaymentSchedule43[[#This Row],[TOTAL PAYMENT]]-PaymentSchedule43[[#This Row],[INTEREST]],"")</f>
        <v/>
      </c>
      <c r="I349" s="32" t="str">
        <f>IF(PaymentSchedule43[[#This Row],[PMT NO]]&lt;&gt;"",PaymentSchedule43[[#This Row],[BEGINNING BALANCE]]*(InterestRate/PaymentsPerYear),"")</f>
        <v/>
      </c>
      <c r="J34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49" s="32" t="str">
        <f>IF(PaymentSchedule43[[#This Row],[PMT NO]]&lt;&gt;"",SUM(INDEX(PaymentSchedule43[INTEREST],1,1):PaymentSchedule43[[#This Row],[INTEREST]]),"")</f>
        <v/>
      </c>
    </row>
    <row r="350" spans="2:11" x14ac:dyDescent="0.3">
      <c r="B350" s="30" t="str">
        <f>IF(LoanIsGood,IF(ROW()-ROW(PaymentSchedule43[[#Headers],[PMT NO]])&gt;ScheduledNumberOfPayments,"",ROW()-ROW(PaymentSchedule43[[#Headers],[PMT NO]])),"")</f>
        <v/>
      </c>
      <c r="C350" s="31" t="str">
        <f>IF(PaymentSchedule43[[#This Row],[PMT NO]]&lt;&gt;"",EOMONTH(LoanStartDate,ROW(PaymentSchedule43[[#This Row],[PMT NO]])-ROW(PaymentSchedule43[[#Headers],[PMT NO]])-2)+DAY(LoanStartDate),"")</f>
        <v/>
      </c>
      <c r="D35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50" s="32" t="str">
        <f>IF(PaymentSchedule43[[#This Row],[PMT NO]]&lt;&gt;"",ScheduledPayment,"")</f>
        <v/>
      </c>
      <c r="F35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5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50" s="32" t="str">
        <f>IF(PaymentSchedule43[[#This Row],[PMT NO]]&lt;&gt;"",PaymentSchedule43[[#This Row],[TOTAL PAYMENT]]-PaymentSchedule43[[#This Row],[INTEREST]],"")</f>
        <v/>
      </c>
      <c r="I350" s="32" t="str">
        <f>IF(PaymentSchedule43[[#This Row],[PMT NO]]&lt;&gt;"",PaymentSchedule43[[#This Row],[BEGINNING BALANCE]]*(InterestRate/PaymentsPerYear),"")</f>
        <v/>
      </c>
      <c r="J35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50" s="32" t="str">
        <f>IF(PaymentSchedule43[[#This Row],[PMT NO]]&lt;&gt;"",SUM(INDEX(PaymentSchedule43[INTEREST],1,1):PaymentSchedule43[[#This Row],[INTEREST]]),"")</f>
        <v/>
      </c>
    </row>
    <row r="351" spans="2:11" x14ac:dyDescent="0.3">
      <c r="B351" s="30" t="str">
        <f>IF(LoanIsGood,IF(ROW()-ROW(PaymentSchedule43[[#Headers],[PMT NO]])&gt;ScheduledNumberOfPayments,"",ROW()-ROW(PaymentSchedule43[[#Headers],[PMT NO]])),"")</f>
        <v/>
      </c>
      <c r="C351" s="31" t="str">
        <f>IF(PaymentSchedule43[[#This Row],[PMT NO]]&lt;&gt;"",EOMONTH(LoanStartDate,ROW(PaymentSchedule43[[#This Row],[PMT NO]])-ROW(PaymentSchedule43[[#Headers],[PMT NO]])-2)+DAY(LoanStartDate),"")</f>
        <v/>
      </c>
      <c r="D35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51" s="32" t="str">
        <f>IF(PaymentSchedule43[[#This Row],[PMT NO]]&lt;&gt;"",ScheduledPayment,"")</f>
        <v/>
      </c>
      <c r="F35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5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51" s="32" t="str">
        <f>IF(PaymentSchedule43[[#This Row],[PMT NO]]&lt;&gt;"",PaymentSchedule43[[#This Row],[TOTAL PAYMENT]]-PaymentSchedule43[[#This Row],[INTEREST]],"")</f>
        <v/>
      </c>
      <c r="I351" s="32" t="str">
        <f>IF(PaymentSchedule43[[#This Row],[PMT NO]]&lt;&gt;"",PaymentSchedule43[[#This Row],[BEGINNING BALANCE]]*(InterestRate/PaymentsPerYear),"")</f>
        <v/>
      </c>
      <c r="J35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51" s="32" t="str">
        <f>IF(PaymentSchedule43[[#This Row],[PMT NO]]&lt;&gt;"",SUM(INDEX(PaymentSchedule43[INTEREST],1,1):PaymentSchedule43[[#This Row],[INTEREST]]),"")</f>
        <v/>
      </c>
    </row>
    <row r="352" spans="2:11" x14ac:dyDescent="0.3">
      <c r="B352" s="30" t="str">
        <f>IF(LoanIsGood,IF(ROW()-ROW(PaymentSchedule43[[#Headers],[PMT NO]])&gt;ScheduledNumberOfPayments,"",ROW()-ROW(PaymentSchedule43[[#Headers],[PMT NO]])),"")</f>
        <v/>
      </c>
      <c r="C352" s="31" t="str">
        <f>IF(PaymentSchedule43[[#This Row],[PMT NO]]&lt;&gt;"",EOMONTH(LoanStartDate,ROW(PaymentSchedule43[[#This Row],[PMT NO]])-ROW(PaymentSchedule43[[#Headers],[PMT NO]])-2)+DAY(LoanStartDate),"")</f>
        <v/>
      </c>
      <c r="D35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52" s="32" t="str">
        <f>IF(PaymentSchedule43[[#This Row],[PMT NO]]&lt;&gt;"",ScheduledPayment,"")</f>
        <v/>
      </c>
      <c r="F35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5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52" s="32" t="str">
        <f>IF(PaymentSchedule43[[#This Row],[PMT NO]]&lt;&gt;"",PaymentSchedule43[[#This Row],[TOTAL PAYMENT]]-PaymentSchedule43[[#This Row],[INTEREST]],"")</f>
        <v/>
      </c>
      <c r="I352" s="32" t="str">
        <f>IF(PaymentSchedule43[[#This Row],[PMT NO]]&lt;&gt;"",PaymentSchedule43[[#This Row],[BEGINNING BALANCE]]*(InterestRate/PaymentsPerYear),"")</f>
        <v/>
      </c>
      <c r="J35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52" s="32" t="str">
        <f>IF(PaymentSchedule43[[#This Row],[PMT NO]]&lt;&gt;"",SUM(INDEX(PaymentSchedule43[INTEREST],1,1):PaymentSchedule43[[#This Row],[INTEREST]]),"")</f>
        <v/>
      </c>
    </row>
    <row r="353" spans="2:11" x14ac:dyDescent="0.3">
      <c r="B353" s="30" t="str">
        <f>IF(LoanIsGood,IF(ROW()-ROW(PaymentSchedule43[[#Headers],[PMT NO]])&gt;ScheduledNumberOfPayments,"",ROW()-ROW(PaymentSchedule43[[#Headers],[PMT NO]])),"")</f>
        <v/>
      </c>
      <c r="C353" s="31" t="str">
        <f>IF(PaymentSchedule43[[#This Row],[PMT NO]]&lt;&gt;"",EOMONTH(LoanStartDate,ROW(PaymentSchedule43[[#This Row],[PMT NO]])-ROW(PaymentSchedule43[[#Headers],[PMT NO]])-2)+DAY(LoanStartDate),"")</f>
        <v/>
      </c>
      <c r="D35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53" s="32" t="str">
        <f>IF(PaymentSchedule43[[#This Row],[PMT NO]]&lt;&gt;"",ScheduledPayment,"")</f>
        <v/>
      </c>
      <c r="F35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5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53" s="32" t="str">
        <f>IF(PaymentSchedule43[[#This Row],[PMT NO]]&lt;&gt;"",PaymentSchedule43[[#This Row],[TOTAL PAYMENT]]-PaymentSchedule43[[#This Row],[INTEREST]],"")</f>
        <v/>
      </c>
      <c r="I353" s="32" t="str">
        <f>IF(PaymentSchedule43[[#This Row],[PMT NO]]&lt;&gt;"",PaymentSchedule43[[#This Row],[BEGINNING BALANCE]]*(InterestRate/PaymentsPerYear),"")</f>
        <v/>
      </c>
      <c r="J35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53" s="32" t="str">
        <f>IF(PaymentSchedule43[[#This Row],[PMT NO]]&lt;&gt;"",SUM(INDEX(PaymentSchedule43[INTEREST],1,1):PaymentSchedule43[[#This Row],[INTEREST]]),"")</f>
        <v/>
      </c>
    </row>
    <row r="354" spans="2:11" x14ac:dyDescent="0.3">
      <c r="B354" s="30" t="str">
        <f>IF(LoanIsGood,IF(ROW()-ROW(PaymentSchedule43[[#Headers],[PMT NO]])&gt;ScheduledNumberOfPayments,"",ROW()-ROW(PaymentSchedule43[[#Headers],[PMT NO]])),"")</f>
        <v/>
      </c>
      <c r="C354" s="31" t="str">
        <f>IF(PaymentSchedule43[[#This Row],[PMT NO]]&lt;&gt;"",EOMONTH(LoanStartDate,ROW(PaymentSchedule43[[#This Row],[PMT NO]])-ROW(PaymentSchedule43[[#Headers],[PMT NO]])-2)+DAY(LoanStartDate),"")</f>
        <v/>
      </c>
      <c r="D35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54" s="32" t="str">
        <f>IF(PaymentSchedule43[[#This Row],[PMT NO]]&lt;&gt;"",ScheduledPayment,"")</f>
        <v/>
      </c>
      <c r="F35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5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54" s="32" t="str">
        <f>IF(PaymentSchedule43[[#This Row],[PMT NO]]&lt;&gt;"",PaymentSchedule43[[#This Row],[TOTAL PAYMENT]]-PaymentSchedule43[[#This Row],[INTEREST]],"")</f>
        <v/>
      </c>
      <c r="I354" s="32" t="str">
        <f>IF(PaymentSchedule43[[#This Row],[PMT NO]]&lt;&gt;"",PaymentSchedule43[[#This Row],[BEGINNING BALANCE]]*(InterestRate/PaymentsPerYear),"")</f>
        <v/>
      </c>
      <c r="J35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54" s="32" t="str">
        <f>IF(PaymentSchedule43[[#This Row],[PMT NO]]&lt;&gt;"",SUM(INDEX(PaymentSchedule43[INTEREST],1,1):PaymentSchedule43[[#This Row],[INTEREST]]),"")</f>
        <v/>
      </c>
    </row>
    <row r="355" spans="2:11" x14ac:dyDescent="0.3">
      <c r="B355" s="30" t="str">
        <f>IF(LoanIsGood,IF(ROW()-ROW(PaymentSchedule43[[#Headers],[PMT NO]])&gt;ScheduledNumberOfPayments,"",ROW()-ROW(PaymentSchedule43[[#Headers],[PMT NO]])),"")</f>
        <v/>
      </c>
      <c r="C355" s="31" t="str">
        <f>IF(PaymentSchedule43[[#This Row],[PMT NO]]&lt;&gt;"",EOMONTH(LoanStartDate,ROW(PaymentSchedule43[[#This Row],[PMT NO]])-ROW(PaymentSchedule43[[#Headers],[PMT NO]])-2)+DAY(LoanStartDate),"")</f>
        <v/>
      </c>
      <c r="D35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55" s="32" t="str">
        <f>IF(PaymentSchedule43[[#This Row],[PMT NO]]&lt;&gt;"",ScheduledPayment,"")</f>
        <v/>
      </c>
      <c r="F35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5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55" s="32" t="str">
        <f>IF(PaymentSchedule43[[#This Row],[PMT NO]]&lt;&gt;"",PaymentSchedule43[[#This Row],[TOTAL PAYMENT]]-PaymentSchedule43[[#This Row],[INTEREST]],"")</f>
        <v/>
      </c>
      <c r="I355" s="32" t="str">
        <f>IF(PaymentSchedule43[[#This Row],[PMT NO]]&lt;&gt;"",PaymentSchedule43[[#This Row],[BEGINNING BALANCE]]*(InterestRate/PaymentsPerYear),"")</f>
        <v/>
      </c>
      <c r="J35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55" s="32" t="str">
        <f>IF(PaymentSchedule43[[#This Row],[PMT NO]]&lt;&gt;"",SUM(INDEX(PaymentSchedule43[INTEREST],1,1):PaymentSchedule43[[#This Row],[INTEREST]]),"")</f>
        <v/>
      </c>
    </row>
    <row r="356" spans="2:11" x14ac:dyDescent="0.3">
      <c r="B356" s="30" t="str">
        <f>IF(LoanIsGood,IF(ROW()-ROW(PaymentSchedule43[[#Headers],[PMT NO]])&gt;ScheduledNumberOfPayments,"",ROW()-ROW(PaymentSchedule43[[#Headers],[PMT NO]])),"")</f>
        <v/>
      </c>
      <c r="C356" s="31" t="str">
        <f>IF(PaymentSchedule43[[#This Row],[PMT NO]]&lt;&gt;"",EOMONTH(LoanStartDate,ROW(PaymentSchedule43[[#This Row],[PMT NO]])-ROW(PaymentSchedule43[[#Headers],[PMT NO]])-2)+DAY(LoanStartDate),"")</f>
        <v/>
      </c>
      <c r="D35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56" s="32" t="str">
        <f>IF(PaymentSchedule43[[#This Row],[PMT NO]]&lt;&gt;"",ScheduledPayment,"")</f>
        <v/>
      </c>
      <c r="F35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5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56" s="32" t="str">
        <f>IF(PaymentSchedule43[[#This Row],[PMT NO]]&lt;&gt;"",PaymentSchedule43[[#This Row],[TOTAL PAYMENT]]-PaymentSchedule43[[#This Row],[INTEREST]],"")</f>
        <v/>
      </c>
      <c r="I356" s="32" t="str">
        <f>IF(PaymentSchedule43[[#This Row],[PMT NO]]&lt;&gt;"",PaymentSchedule43[[#This Row],[BEGINNING BALANCE]]*(InterestRate/PaymentsPerYear),"")</f>
        <v/>
      </c>
      <c r="J35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56" s="32" t="str">
        <f>IF(PaymentSchedule43[[#This Row],[PMT NO]]&lt;&gt;"",SUM(INDEX(PaymentSchedule43[INTEREST],1,1):PaymentSchedule43[[#This Row],[INTEREST]]),"")</f>
        <v/>
      </c>
    </row>
    <row r="357" spans="2:11" x14ac:dyDescent="0.3">
      <c r="B357" s="30" t="str">
        <f>IF(LoanIsGood,IF(ROW()-ROW(PaymentSchedule43[[#Headers],[PMT NO]])&gt;ScheduledNumberOfPayments,"",ROW()-ROW(PaymentSchedule43[[#Headers],[PMT NO]])),"")</f>
        <v/>
      </c>
      <c r="C357" s="31" t="str">
        <f>IF(PaymentSchedule43[[#This Row],[PMT NO]]&lt;&gt;"",EOMONTH(LoanStartDate,ROW(PaymentSchedule43[[#This Row],[PMT NO]])-ROW(PaymentSchedule43[[#Headers],[PMT NO]])-2)+DAY(LoanStartDate),"")</f>
        <v/>
      </c>
      <c r="D35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57" s="32" t="str">
        <f>IF(PaymentSchedule43[[#This Row],[PMT NO]]&lt;&gt;"",ScheduledPayment,"")</f>
        <v/>
      </c>
      <c r="F35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5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57" s="32" t="str">
        <f>IF(PaymentSchedule43[[#This Row],[PMT NO]]&lt;&gt;"",PaymentSchedule43[[#This Row],[TOTAL PAYMENT]]-PaymentSchedule43[[#This Row],[INTEREST]],"")</f>
        <v/>
      </c>
      <c r="I357" s="32" t="str">
        <f>IF(PaymentSchedule43[[#This Row],[PMT NO]]&lt;&gt;"",PaymentSchedule43[[#This Row],[BEGINNING BALANCE]]*(InterestRate/PaymentsPerYear),"")</f>
        <v/>
      </c>
      <c r="J35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57" s="32" t="str">
        <f>IF(PaymentSchedule43[[#This Row],[PMT NO]]&lt;&gt;"",SUM(INDEX(PaymentSchedule43[INTEREST],1,1):PaymentSchedule43[[#This Row],[INTEREST]]),"")</f>
        <v/>
      </c>
    </row>
    <row r="358" spans="2:11" x14ac:dyDescent="0.3">
      <c r="B358" s="30" t="str">
        <f>IF(LoanIsGood,IF(ROW()-ROW(PaymentSchedule43[[#Headers],[PMT NO]])&gt;ScheduledNumberOfPayments,"",ROW()-ROW(PaymentSchedule43[[#Headers],[PMT NO]])),"")</f>
        <v/>
      </c>
      <c r="C358" s="31" t="str">
        <f>IF(PaymentSchedule43[[#This Row],[PMT NO]]&lt;&gt;"",EOMONTH(LoanStartDate,ROW(PaymentSchedule43[[#This Row],[PMT NO]])-ROW(PaymentSchedule43[[#Headers],[PMT NO]])-2)+DAY(LoanStartDate),"")</f>
        <v/>
      </c>
      <c r="D35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58" s="32" t="str">
        <f>IF(PaymentSchedule43[[#This Row],[PMT NO]]&lt;&gt;"",ScheduledPayment,"")</f>
        <v/>
      </c>
      <c r="F35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5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58" s="32" t="str">
        <f>IF(PaymentSchedule43[[#This Row],[PMT NO]]&lt;&gt;"",PaymentSchedule43[[#This Row],[TOTAL PAYMENT]]-PaymentSchedule43[[#This Row],[INTEREST]],"")</f>
        <v/>
      </c>
      <c r="I358" s="32" t="str">
        <f>IF(PaymentSchedule43[[#This Row],[PMT NO]]&lt;&gt;"",PaymentSchedule43[[#This Row],[BEGINNING BALANCE]]*(InterestRate/PaymentsPerYear),"")</f>
        <v/>
      </c>
      <c r="J35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58" s="32" t="str">
        <f>IF(PaymentSchedule43[[#This Row],[PMT NO]]&lt;&gt;"",SUM(INDEX(PaymentSchedule43[INTEREST],1,1):PaymentSchedule43[[#This Row],[INTEREST]]),"")</f>
        <v/>
      </c>
    </row>
    <row r="359" spans="2:11" x14ac:dyDescent="0.3">
      <c r="B359" s="30" t="str">
        <f>IF(LoanIsGood,IF(ROW()-ROW(PaymentSchedule43[[#Headers],[PMT NO]])&gt;ScheduledNumberOfPayments,"",ROW()-ROW(PaymentSchedule43[[#Headers],[PMT NO]])),"")</f>
        <v/>
      </c>
      <c r="C359" s="31" t="str">
        <f>IF(PaymentSchedule43[[#This Row],[PMT NO]]&lt;&gt;"",EOMONTH(LoanStartDate,ROW(PaymentSchedule43[[#This Row],[PMT NO]])-ROW(PaymentSchedule43[[#Headers],[PMT NO]])-2)+DAY(LoanStartDate),"")</f>
        <v/>
      </c>
      <c r="D35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59" s="32" t="str">
        <f>IF(PaymentSchedule43[[#This Row],[PMT NO]]&lt;&gt;"",ScheduledPayment,"")</f>
        <v/>
      </c>
      <c r="F35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5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59" s="32" t="str">
        <f>IF(PaymentSchedule43[[#This Row],[PMT NO]]&lt;&gt;"",PaymentSchedule43[[#This Row],[TOTAL PAYMENT]]-PaymentSchedule43[[#This Row],[INTEREST]],"")</f>
        <v/>
      </c>
      <c r="I359" s="32" t="str">
        <f>IF(PaymentSchedule43[[#This Row],[PMT NO]]&lt;&gt;"",PaymentSchedule43[[#This Row],[BEGINNING BALANCE]]*(InterestRate/PaymentsPerYear),"")</f>
        <v/>
      </c>
      <c r="J35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59" s="32" t="str">
        <f>IF(PaymentSchedule43[[#This Row],[PMT NO]]&lt;&gt;"",SUM(INDEX(PaymentSchedule43[INTEREST],1,1):PaymentSchedule43[[#This Row],[INTEREST]]),"")</f>
        <v/>
      </c>
    </row>
    <row r="360" spans="2:11" x14ac:dyDescent="0.3">
      <c r="B360" s="30" t="str">
        <f>IF(LoanIsGood,IF(ROW()-ROW(PaymentSchedule43[[#Headers],[PMT NO]])&gt;ScheduledNumberOfPayments,"",ROW()-ROW(PaymentSchedule43[[#Headers],[PMT NO]])),"")</f>
        <v/>
      </c>
      <c r="C360" s="31" t="str">
        <f>IF(PaymentSchedule43[[#This Row],[PMT NO]]&lt;&gt;"",EOMONTH(LoanStartDate,ROW(PaymentSchedule43[[#This Row],[PMT NO]])-ROW(PaymentSchedule43[[#Headers],[PMT NO]])-2)+DAY(LoanStartDate),"")</f>
        <v/>
      </c>
      <c r="D36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60" s="32" t="str">
        <f>IF(PaymentSchedule43[[#This Row],[PMT NO]]&lt;&gt;"",ScheduledPayment,"")</f>
        <v/>
      </c>
      <c r="F36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6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60" s="32" t="str">
        <f>IF(PaymentSchedule43[[#This Row],[PMT NO]]&lt;&gt;"",PaymentSchedule43[[#This Row],[TOTAL PAYMENT]]-PaymentSchedule43[[#This Row],[INTEREST]],"")</f>
        <v/>
      </c>
      <c r="I360" s="32" t="str">
        <f>IF(PaymentSchedule43[[#This Row],[PMT NO]]&lt;&gt;"",PaymentSchedule43[[#This Row],[BEGINNING BALANCE]]*(InterestRate/PaymentsPerYear),"")</f>
        <v/>
      </c>
      <c r="J36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60" s="32" t="str">
        <f>IF(PaymentSchedule43[[#This Row],[PMT NO]]&lt;&gt;"",SUM(INDEX(PaymentSchedule43[INTEREST],1,1):PaymentSchedule43[[#This Row],[INTEREST]]),"")</f>
        <v/>
      </c>
    </row>
    <row r="361" spans="2:11" x14ac:dyDescent="0.3">
      <c r="B361" s="30" t="str">
        <f>IF(LoanIsGood,IF(ROW()-ROW(PaymentSchedule43[[#Headers],[PMT NO]])&gt;ScheduledNumberOfPayments,"",ROW()-ROW(PaymentSchedule43[[#Headers],[PMT NO]])),"")</f>
        <v/>
      </c>
      <c r="C361" s="31" t="str">
        <f>IF(PaymentSchedule43[[#This Row],[PMT NO]]&lt;&gt;"",EOMONTH(LoanStartDate,ROW(PaymentSchedule43[[#This Row],[PMT NO]])-ROW(PaymentSchedule43[[#Headers],[PMT NO]])-2)+DAY(LoanStartDate),"")</f>
        <v/>
      </c>
      <c r="D36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61" s="32" t="str">
        <f>IF(PaymentSchedule43[[#This Row],[PMT NO]]&lt;&gt;"",ScheduledPayment,"")</f>
        <v/>
      </c>
      <c r="F36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6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61" s="32" t="str">
        <f>IF(PaymentSchedule43[[#This Row],[PMT NO]]&lt;&gt;"",PaymentSchedule43[[#This Row],[TOTAL PAYMENT]]-PaymentSchedule43[[#This Row],[INTEREST]],"")</f>
        <v/>
      </c>
      <c r="I361" s="32" t="str">
        <f>IF(PaymentSchedule43[[#This Row],[PMT NO]]&lt;&gt;"",PaymentSchedule43[[#This Row],[BEGINNING BALANCE]]*(InterestRate/PaymentsPerYear),"")</f>
        <v/>
      </c>
      <c r="J36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61" s="32" t="str">
        <f>IF(PaymentSchedule43[[#This Row],[PMT NO]]&lt;&gt;"",SUM(INDEX(PaymentSchedule43[INTEREST],1,1):PaymentSchedule43[[#This Row],[INTEREST]]),"")</f>
        <v/>
      </c>
    </row>
    <row r="362" spans="2:11" x14ac:dyDescent="0.3">
      <c r="B362" s="30" t="str">
        <f>IF(LoanIsGood,IF(ROW()-ROW(PaymentSchedule43[[#Headers],[PMT NO]])&gt;ScheduledNumberOfPayments,"",ROW()-ROW(PaymentSchedule43[[#Headers],[PMT NO]])),"")</f>
        <v/>
      </c>
      <c r="C362" s="31" t="str">
        <f>IF(PaymentSchedule43[[#This Row],[PMT NO]]&lt;&gt;"",EOMONTH(LoanStartDate,ROW(PaymentSchedule43[[#This Row],[PMT NO]])-ROW(PaymentSchedule43[[#Headers],[PMT NO]])-2)+DAY(LoanStartDate),"")</f>
        <v/>
      </c>
      <c r="D36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62" s="32" t="str">
        <f>IF(PaymentSchedule43[[#This Row],[PMT NO]]&lt;&gt;"",ScheduledPayment,"")</f>
        <v/>
      </c>
      <c r="F36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6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62" s="32" t="str">
        <f>IF(PaymentSchedule43[[#This Row],[PMT NO]]&lt;&gt;"",PaymentSchedule43[[#This Row],[TOTAL PAYMENT]]-PaymentSchedule43[[#This Row],[INTEREST]],"")</f>
        <v/>
      </c>
      <c r="I362" s="32" t="str">
        <f>IF(PaymentSchedule43[[#This Row],[PMT NO]]&lt;&gt;"",PaymentSchedule43[[#This Row],[BEGINNING BALANCE]]*(InterestRate/PaymentsPerYear),"")</f>
        <v/>
      </c>
      <c r="J36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62" s="32" t="str">
        <f>IF(PaymentSchedule43[[#This Row],[PMT NO]]&lt;&gt;"",SUM(INDEX(PaymentSchedule43[INTEREST],1,1):PaymentSchedule43[[#This Row],[INTEREST]]),"")</f>
        <v/>
      </c>
    </row>
    <row r="363" spans="2:11" x14ac:dyDescent="0.3">
      <c r="B363" s="30" t="str">
        <f>IF(LoanIsGood,IF(ROW()-ROW(PaymentSchedule43[[#Headers],[PMT NO]])&gt;ScheduledNumberOfPayments,"",ROW()-ROW(PaymentSchedule43[[#Headers],[PMT NO]])),"")</f>
        <v/>
      </c>
      <c r="C363" s="31" t="str">
        <f>IF(PaymentSchedule43[[#This Row],[PMT NO]]&lt;&gt;"",EOMONTH(LoanStartDate,ROW(PaymentSchedule43[[#This Row],[PMT NO]])-ROW(PaymentSchedule43[[#Headers],[PMT NO]])-2)+DAY(LoanStartDate),"")</f>
        <v/>
      </c>
      <c r="D363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63" s="32" t="str">
        <f>IF(PaymentSchedule43[[#This Row],[PMT NO]]&lt;&gt;"",ScheduledPayment,"")</f>
        <v/>
      </c>
      <c r="F363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63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63" s="32" t="str">
        <f>IF(PaymentSchedule43[[#This Row],[PMT NO]]&lt;&gt;"",PaymentSchedule43[[#This Row],[TOTAL PAYMENT]]-PaymentSchedule43[[#This Row],[INTEREST]],"")</f>
        <v/>
      </c>
      <c r="I363" s="32" t="str">
        <f>IF(PaymentSchedule43[[#This Row],[PMT NO]]&lt;&gt;"",PaymentSchedule43[[#This Row],[BEGINNING BALANCE]]*(InterestRate/PaymentsPerYear),"")</f>
        <v/>
      </c>
      <c r="J363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63" s="32" t="str">
        <f>IF(PaymentSchedule43[[#This Row],[PMT NO]]&lt;&gt;"",SUM(INDEX(PaymentSchedule43[INTEREST],1,1):PaymentSchedule43[[#This Row],[INTEREST]]),"")</f>
        <v/>
      </c>
    </row>
    <row r="364" spans="2:11" x14ac:dyDescent="0.3">
      <c r="B364" s="30" t="str">
        <f>IF(LoanIsGood,IF(ROW()-ROW(PaymentSchedule43[[#Headers],[PMT NO]])&gt;ScheduledNumberOfPayments,"",ROW()-ROW(PaymentSchedule43[[#Headers],[PMT NO]])),"")</f>
        <v/>
      </c>
      <c r="C364" s="31" t="str">
        <f>IF(PaymentSchedule43[[#This Row],[PMT NO]]&lt;&gt;"",EOMONTH(LoanStartDate,ROW(PaymentSchedule43[[#This Row],[PMT NO]])-ROW(PaymentSchedule43[[#Headers],[PMT NO]])-2)+DAY(LoanStartDate),"")</f>
        <v/>
      </c>
      <c r="D364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64" s="32" t="str">
        <f>IF(PaymentSchedule43[[#This Row],[PMT NO]]&lt;&gt;"",ScheduledPayment,"")</f>
        <v/>
      </c>
      <c r="F364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64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64" s="32" t="str">
        <f>IF(PaymentSchedule43[[#This Row],[PMT NO]]&lt;&gt;"",PaymentSchedule43[[#This Row],[TOTAL PAYMENT]]-PaymentSchedule43[[#This Row],[INTEREST]],"")</f>
        <v/>
      </c>
      <c r="I364" s="32" t="str">
        <f>IF(PaymentSchedule43[[#This Row],[PMT NO]]&lt;&gt;"",PaymentSchedule43[[#This Row],[BEGINNING BALANCE]]*(InterestRate/PaymentsPerYear),"")</f>
        <v/>
      </c>
      <c r="J364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64" s="32" t="str">
        <f>IF(PaymentSchedule43[[#This Row],[PMT NO]]&lt;&gt;"",SUM(INDEX(PaymentSchedule43[INTEREST],1,1):PaymentSchedule43[[#This Row],[INTEREST]]),"")</f>
        <v/>
      </c>
    </row>
    <row r="365" spans="2:11" x14ac:dyDescent="0.3">
      <c r="B365" s="30" t="str">
        <f>IF(LoanIsGood,IF(ROW()-ROW(PaymentSchedule43[[#Headers],[PMT NO]])&gt;ScheduledNumberOfPayments,"",ROW()-ROW(PaymentSchedule43[[#Headers],[PMT NO]])),"")</f>
        <v/>
      </c>
      <c r="C365" s="31" t="str">
        <f>IF(PaymentSchedule43[[#This Row],[PMT NO]]&lt;&gt;"",EOMONTH(LoanStartDate,ROW(PaymentSchedule43[[#This Row],[PMT NO]])-ROW(PaymentSchedule43[[#Headers],[PMT NO]])-2)+DAY(LoanStartDate),"")</f>
        <v/>
      </c>
      <c r="D365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65" s="32" t="str">
        <f>IF(PaymentSchedule43[[#This Row],[PMT NO]]&lt;&gt;"",ScheduledPayment,"")</f>
        <v/>
      </c>
      <c r="F365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65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65" s="32" t="str">
        <f>IF(PaymentSchedule43[[#This Row],[PMT NO]]&lt;&gt;"",PaymentSchedule43[[#This Row],[TOTAL PAYMENT]]-PaymentSchedule43[[#This Row],[INTEREST]],"")</f>
        <v/>
      </c>
      <c r="I365" s="32" t="str">
        <f>IF(PaymentSchedule43[[#This Row],[PMT NO]]&lt;&gt;"",PaymentSchedule43[[#This Row],[BEGINNING BALANCE]]*(InterestRate/PaymentsPerYear),"")</f>
        <v/>
      </c>
      <c r="J365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65" s="32" t="str">
        <f>IF(PaymentSchedule43[[#This Row],[PMT NO]]&lt;&gt;"",SUM(INDEX(PaymentSchedule43[INTEREST],1,1):PaymentSchedule43[[#This Row],[INTEREST]]),"")</f>
        <v/>
      </c>
    </row>
    <row r="366" spans="2:11" x14ac:dyDescent="0.3">
      <c r="B366" s="30" t="str">
        <f>IF(LoanIsGood,IF(ROW()-ROW(PaymentSchedule43[[#Headers],[PMT NO]])&gt;ScheduledNumberOfPayments,"",ROW()-ROW(PaymentSchedule43[[#Headers],[PMT NO]])),"")</f>
        <v/>
      </c>
      <c r="C366" s="31" t="str">
        <f>IF(PaymentSchedule43[[#This Row],[PMT NO]]&lt;&gt;"",EOMONTH(LoanStartDate,ROW(PaymentSchedule43[[#This Row],[PMT NO]])-ROW(PaymentSchedule43[[#Headers],[PMT NO]])-2)+DAY(LoanStartDate),"")</f>
        <v/>
      </c>
      <c r="D366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66" s="32" t="str">
        <f>IF(PaymentSchedule43[[#This Row],[PMT NO]]&lt;&gt;"",ScheduledPayment,"")</f>
        <v/>
      </c>
      <c r="F366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66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66" s="32" t="str">
        <f>IF(PaymentSchedule43[[#This Row],[PMT NO]]&lt;&gt;"",PaymentSchedule43[[#This Row],[TOTAL PAYMENT]]-PaymentSchedule43[[#This Row],[INTEREST]],"")</f>
        <v/>
      </c>
      <c r="I366" s="32" t="str">
        <f>IF(PaymentSchedule43[[#This Row],[PMT NO]]&lt;&gt;"",PaymentSchedule43[[#This Row],[BEGINNING BALANCE]]*(InterestRate/PaymentsPerYear),"")</f>
        <v/>
      </c>
      <c r="J366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66" s="32" t="str">
        <f>IF(PaymentSchedule43[[#This Row],[PMT NO]]&lt;&gt;"",SUM(INDEX(PaymentSchedule43[INTEREST],1,1):PaymentSchedule43[[#This Row],[INTEREST]]),"")</f>
        <v/>
      </c>
    </row>
    <row r="367" spans="2:11" x14ac:dyDescent="0.3">
      <c r="B367" s="30" t="str">
        <f>IF(LoanIsGood,IF(ROW()-ROW(PaymentSchedule43[[#Headers],[PMT NO]])&gt;ScheduledNumberOfPayments,"",ROW()-ROW(PaymentSchedule43[[#Headers],[PMT NO]])),"")</f>
        <v/>
      </c>
      <c r="C367" s="31" t="str">
        <f>IF(PaymentSchedule43[[#This Row],[PMT NO]]&lt;&gt;"",EOMONTH(LoanStartDate,ROW(PaymentSchedule43[[#This Row],[PMT NO]])-ROW(PaymentSchedule43[[#Headers],[PMT NO]])-2)+DAY(LoanStartDate),"")</f>
        <v/>
      </c>
      <c r="D367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67" s="32" t="str">
        <f>IF(PaymentSchedule43[[#This Row],[PMT NO]]&lt;&gt;"",ScheduledPayment,"")</f>
        <v/>
      </c>
      <c r="F367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67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67" s="32" t="str">
        <f>IF(PaymentSchedule43[[#This Row],[PMT NO]]&lt;&gt;"",PaymentSchedule43[[#This Row],[TOTAL PAYMENT]]-PaymentSchedule43[[#This Row],[INTEREST]],"")</f>
        <v/>
      </c>
      <c r="I367" s="32" t="str">
        <f>IF(PaymentSchedule43[[#This Row],[PMT NO]]&lt;&gt;"",PaymentSchedule43[[#This Row],[BEGINNING BALANCE]]*(InterestRate/PaymentsPerYear),"")</f>
        <v/>
      </c>
      <c r="J367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67" s="32" t="str">
        <f>IF(PaymentSchedule43[[#This Row],[PMT NO]]&lt;&gt;"",SUM(INDEX(PaymentSchedule43[INTEREST],1,1):PaymentSchedule43[[#This Row],[INTEREST]]),"")</f>
        <v/>
      </c>
    </row>
    <row r="368" spans="2:11" x14ac:dyDescent="0.3">
      <c r="B368" s="30" t="str">
        <f>IF(LoanIsGood,IF(ROW()-ROW(PaymentSchedule43[[#Headers],[PMT NO]])&gt;ScheduledNumberOfPayments,"",ROW()-ROW(PaymentSchedule43[[#Headers],[PMT NO]])),"")</f>
        <v/>
      </c>
      <c r="C368" s="31" t="str">
        <f>IF(PaymentSchedule43[[#This Row],[PMT NO]]&lt;&gt;"",EOMONTH(LoanStartDate,ROW(PaymentSchedule43[[#This Row],[PMT NO]])-ROW(PaymentSchedule43[[#Headers],[PMT NO]])-2)+DAY(LoanStartDate),"")</f>
        <v/>
      </c>
      <c r="D368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68" s="32" t="str">
        <f>IF(PaymentSchedule43[[#This Row],[PMT NO]]&lt;&gt;"",ScheduledPayment,"")</f>
        <v/>
      </c>
      <c r="F368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68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68" s="32" t="str">
        <f>IF(PaymentSchedule43[[#This Row],[PMT NO]]&lt;&gt;"",PaymentSchedule43[[#This Row],[TOTAL PAYMENT]]-PaymentSchedule43[[#This Row],[INTEREST]],"")</f>
        <v/>
      </c>
      <c r="I368" s="32" t="str">
        <f>IF(PaymentSchedule43[[#This Row],[PMT NO]]&lt;&gt;"",PaymentSchedule43[[#This Row],[BEGINNING BALANCE]]*(InterestRate/PaymentsPerYear),"")</f>
        <v/>
      </c>
      <c r="J368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68" s="32" t="str">
        <f>IF(PaymentSchedule43[[#This Row],[PMT NO]]&lt;&gt;"",SUM(INDEX(PaymentSchedule43[INTEREST],1,1):PaymentSchedule43[[#This Row],[INTEREST]]),"")</f>
        <v/>
      </c>
    </row>
    <row r="369" spans="2:11" x14ac:dyDescent="0.3">
      <c r="B369" s="30" t="str">
        <f>IF(LoanIsGood,IF(ROW()-ROW(PaymentSchedule43[[#Headers],[PMT NO]])&gt;ScheduledNumberOfPayments,"",ROW()-ROW(PaymentSchedule43[[#Headers],[PMT NO]])),"")</f>
        <v/>
      </c>
      <c r="C369" s="31" t="str">
        <f>IF(PaymentSchedule43[[#This Row],[PMT NO]]&lt;&gt;"",EOMONTH(LoanStartDate,ROW(PaymentSchedule43[[#This Row],[PMT NO]])-ROW(PaymentSchedule43[[#Headers],[PMT NO]])-2)+DAY(LoanStartDate),"")</f>
        <v/>
      </c>
      <c r="D369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69" s="32" t="str">
        <f>IF(PaymentSchedule43[[#This Row],[PMT NO]]&lt;&gt;"",ScheduledPayment,"")</f>
        <v/>
      </c>
      <c r="F369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69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69" s="32" t="str">
        <f>IF(PaymentSchedule43[[#This Row],[PMT NO]]&lt;&gt;"",PaymentSchedule43[[#This Row],[TOTAL PAYMENT]]-PaymentSchedule43[[#This Row],[INTEREST]],"")</f>
        <v/>
      </c>
      <c r="I369" s="32" t="str">
        <f>IF(PaymentSchedule43[[#This Row],[PMT NO]]&lt;&gt;"",PaymentSchedule43[[#This Row],[BEGINNING BALANCE]]*(InterestRate/PaymentsPerYear),"")</f>
        <v/>
      </c>
      <c r="J369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69" s="32" t="str">
        <f>IF(PaymentSchedule43[[#This Row],[PMT NO]]&lt;&gt;"",SUM(INDEX(PaymentSchedule43[INTEREST],1,1):PaymentSchedule43[[#This Row],[INTEREST]]),"")</f>
        <v/>
      </c>
    </row>
    <row r="370" spans="2:11" x14ac:dyDescent="0.3">
      <c r="B370" s="30" t="str">
        <f>IF(LoanIsGood,IF(ROW()-ROW(PaymentSchedule43[[#Headers],[PMT NO]])&gt;ScheduledNumberOfPayments,"",ROW()-ROW(PaymentSchedule43[[#Headers],[PMT NO]])),"")</f>
        <v/>
      </c>
      <c r="C370" s="31" t="str">
        <f>IF(PaymentSchedule43[[#This Row],[PMT NO]]&lt;&gt;"",EOMONTH(LoanStartDate,ROW(PaymentSchedule43[[#This Row],[PMT NO]])-ROW(PaymentSchedule43[[#Headers],[PMT NO]])-2)+DAY(LoanStartDate),"")</f>
        <v/>
      </c>
      <c r="D370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70" s="32" t="str">
        <f>IF(PaymentSchedule43[[#This Row],[PMT NO]]&lt;&gt;"",ScheduledPayment,"")</f>
        <v/>
      </c>
      <c r="F370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70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70" s="32" t="str">
        <f>IF(PaymentSchedule43[[#This Row],[PMT NO]]&lt;&gt;"",PaymentSchedule43[[#This Row],[TOTAL PAYMENT]]-PaymentSchedule43[[#This Row],[INTEREST]],"")</f>
        <v/>
      </c>
      <c r="I370" s="32" t="str">
        <f>IF(PaymentSchedule43[[#This Row],[PMT NO]]&lt;&gt;"",PaymentSchedule43[[#This Row],[BEGINNING BALANCE]]*(InterestRate/PaymentsPerYear),"")</f>
        <v/>
      </c>
      <c r="J370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70" s="32" t="str">
        <f>IF(PaymentSchedule43[[#This Row],[PMT NO]]&lt;&gt;"",SUM(INDEX(PaymentSchedule43[INTEREST],1,1):PaymentSchedule43[[#This Row],[INTEREST]]),"")</f>
        <v/>
      </c>
    </row>
    <row r="371" spans="2:11" x14ac:dyDescent="0.3">
      <c r="B371" s="30" t="str">
        <f>IF(LoanIsGood,IF(ROW()-ROW(PaymentSchedule43[[#Headers],[PMT NO]])&gt;ScheduledNumberOfPayments,"",ROW()-ROW(PaymentSchedule43[[#Headers],[PMT NO]])),"")</f>
        <v/>
      </c>
      <c r="C371" s="31" t="str">
        <f>IF(PaymentSchedule43[[#This Row],[PMT NO]]&lt;&gt;"",EOMONTH(LoanStartDate,ROW(PaymentSchedule43[[#This Row],[PMT NO]])-ROW(PaymentSchedule43[[#Headers],[PMT NO]])-2)+DAY(LoanStartDate),"")</f>
        <v/>
      </c>
      <c r="D371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71" s="32" t="str">
        <f>IF(PaymentSchedule43[[#This Row],[PMT NO]]&lt;&gt;"",ScheduledPayment,"")</f>
        <v/>
      </c>
      <c r="F371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71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71" s="32" t="str">
        <f>IF(PaymentSchedule43[[#This Row],[PMT NO]]&lt;&gt;"",PaymentSchedule43[[#This Row],[TOTAL PAYMENT]]-PaymentSchedule43[[#This Row],[INTEREST]],"")</f>
        <v/>
      </c>
      <c r="I371" s="32" t="str">
        <f>IF(PaymentSchedule43[[#This Row],[PMT NO]]&lt;&gt;"",PaymentSchedule43[[#This Row],[BEGINNING BALANCE]]*(InterestRate/PaymentsPerYear),"")</f>
        <v/>
      </c>
      <c r="J371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71" s="32" t="str">
        <f>IF(PaymentSchedule43[[#This Row],[PMT NO]]&lt;&gt;"",SUM(INDEX(PaymentSchedule43[INTEREST],1,1):PaymentSchedule43[[#This Row],[INTEREST]]),"")</f>
        <v/>
      </c>
    </row>
    <row r="372" spans="2:11" x14ac:dyDescent="0.3">
      <c r="B372" s="30" t="str">
        <f>IF(LoanIsGood,IF(ROW()-ROW(PaymentSchedule43[[#Headers],[PMT NO]])&gt;ScheduledNumberOfPayments,"",ROW()-ROW(PaymentSchedule43[[#Headers],[PMT NO]])),"")</f>
        <v/>
      </c>
      <c r="C372" s="31" t="str">
        <f>IF(PaymentSchedule43[[#This Row],[PMT NO]]&lt;&gt;"",EOMONTH(LoanStartDate,ROW(PaymentSchedule43[[#This Row],[PMT NO]])-ROW(PaymentSchedule43[[#Headers],[PMT NO]])-2)+DAY(LoanStartDate),"")</f>
        <v/>
      </c>
      <c r="D372" s="32" t="str">
        <f>IF(PaymentSchedule43[[#This Row],[PMT NO]]&lt;&gt;"",IF(ROW()-ROW(PaymentSchedule43[[#Headers],[BEGINNING BALANCE]])=1,LoanAmount,INDEX(PaymentSchedule43[ENDING BALANCE],ROW()-ROW(PaymentSchedule43[[#Headers],[BEGINNING BALANCE]])-1)),"")</f>
        <v/>
      </c>
      <c r="E372" s="32" t="str">
        <f>IF(PaymentSchedule43[[#This Row],[PMT NO]]&lt;&gt;"",ScheduledPayment,"")</f>
        <v/>
      </c>
      <c r="F372" s="32" t="str">
        <f>IF(PaymentSchedule43[[#This Row],[PMT NO]]&lt;&gt;"",IF(PaymentSchedule43[[#This Row],[SCHEDULED PAYMENT]]+ExtraPayments&lt;PaymentSchedule43[[#This Row],[BEGINNING BALANCE]],ExtraPayments,IF(PaymentSchedule43[[#This Row],[BEGINNING BALANCE]]-PaymentSchedule43[[#This Row],[SCHEDULED PAYMENT]]&gt;0,PaymentSchedule43[[#This Row],[BEGINNING BALANCE]]-PaymentSchedule43[[#This Row],[SCHEDULED PAYMENT]],0)),"")</f>
        <v/>
      </c>
      <c r="G372" s="32" t="str">
        <f>IF(PaymentSchedule43[[#This Row],[PMT NO]]&lt;&gt;"",IF(PaymentSchedule43[[#This Row],[SCHEDULED PAYMENT]]+PaymentSchedule43[[#This Row],[EXTRA PAYMENT]]&lt;=PaymentSchedule43[[#This Row],[BEGINNING BALANCE]],PaymentSchedule43[[#This Row],[SCHEDULED PAYMENT]]+PaymentSchedule43[[#This Row],[EXTRA PAYMENT]],PaymentSchedule43[[#This Row],[BEGINNING BALANCE]]),"")</f>
        <v/>
      </c>
      <c r="H372" s="32" t="str">
        <f>IF(PaymentSchedule43[[#This Row],[PMT NO]]&lt;&gt;"",PaymentSchedule43[[#This Row],[TOTAL PAYMENT]]-PaymentSchedule43[[#This Row],[INTEREST]],"")</f>
        <v/>
      </c>
      <c r="I372" s="32" t="str">
        <f>IF(PaymentSchedule43[[#This Row],[PMT NO]]&lt;&gt;"",PaymentSchedule43[[#This Row],[BEGINNING BALANCE]]*(InterestRate/PaymentsPerYear),"")</f>
        <v/>
      </c>
      <c r="J372" s="32" t="str">
        <f>IF(PaymentSchedule43[[#This Row],[PMT NO]]&lt;&gt;"",IF(PaymentSchedule43[[#This Row],[SCHEDULED PAYMENT]]+PaymentSchedule43[[#This Row],[EXTRA PAYMENT]]&lt;=PaymentSchedule43[[#This Row],[BEGINNING BALANCE]],PaymentSchedule43[[#This Row],[BEGINNING BALANCE]]-PaymentSchedule43[[#This Row],[PRINCIPAL]],0),"")</f>
        <v/>
      </c>
      <c r="K372" s="32" t="str">
        <f>IF(PaymentSchedule43[[#This Row],[PMT NO]]&lt;&gt;"",SUM(INDEX(PaymentSchedule43[INTEREST],1,1):PaymentSchedule43[[#This Row],[INTEREST]]),"")</f>
        <v/>
      </c>
    </row>
  </sheetData>
  <mergeCells count="13">
    <mergeCell ref="C10:D10"/>
    <mergeCell ref="H10:I10"/>
    <mergeCell ref="J5:K5"/>
    <mergeCell ref="C6:D6"/>
    <mergeCell ref="G6:H6"/>
    <mergeCell ref="C7:D7"/>
    <mergeCell ref="G7:H7"/>
    <mergeCell ref="C3:D3"/>
    <mergeCell ref="G3:H3"/>
    <mergeCell ref="C4:D4"/>
    <mergeCell ref="G4:H4"/>
    <mergeCell ref="C5:D5"/>
    <mergeCell ref="G5:H5"/>
  </mergeCells>
  <conditionalFormatting sqref="B13:K372">
    <cfRule type="expression" dxfId="26" priority="1">
      <formula>($B13="")+(($D13=0)*($F13=0))</formula>
    </cfRule>
  </conditionalFormatting>
  <dataValidations count="26">
    <dataValidation allowBlank="1" showInputMessage="1" showErrorMessage="1" prompt="Enter the name of the lender in this cell" sqref="H10:I10" xr:uid="{0F2ECA9A-8A9E-4046-B642-B3D43E20A8A9}"/>
    <dataValidation allowBlank="1" showInputMessage="1" showErrorMessage="1" prompt="Cumulative interest is automatically updated in this column" sqref="K12" xr:uid="{3B7BDA94-0131-438F-B085-5F13D88B68EE}"/>
    <dataValidation allowBlank="1" showInputMessage="1" showErrorMessage="1" prompt="Ending balance is automatically updated in this column" sqref="J12" xr:uid="{81A5A817-11C4-405B-B5EE-D28D8CC1B814}"/>
    <dataValidation allowBlank="1" showInputMessage="1" showErrorMessage="1" prompt="Interest is automatically updated in this column" sqref="I12" xr:uid="{B7D72526-0D33-4CC1-87B2-683E1D2681E1}"/>
    <dataValidation allowBlank="1" showInputMessage="1" showErrorMessage="1" prompt="Principal is automatically updated in this column" sqref="H12" xr:uid="{64536017-0EF1-4C6D-A7E3-1765F24AF0DB}"/>
    <dataValidation allowBlank="1" showInputMessage="1" showErrorMessage="1" prompt="Total payment is automatically updated in this column" sqref="G12" xr:uid="{E1AAB811-DF8F-41EA-9593-4BDA31BDBB0D}"/>
    <dataValidation allowBlank="1" showInputMessage="1" showErrorMessage="1" prompt="Extra payment is automatically updated in this column" sqref="F12" xr:uid="{A486773C-2308-47E0-B206-E65D10C4B372}"/>
    <dataValidation allowBlank="1" showInputMessage="1" showErrorMessage="1" prompt="Scheduled payment is automatically updated in this column" sqref="E12" xr:uid="{D29E7ABE-146D-42C1-86A9-A8DFBB5E3FF0}"/>
    <dataValidation allowBlank="1" showInputMessage="1" showErrorMessage="1" prompt="Beginning balance is automatically updated in this column" sqref="D12" xr:uid="{530AB57A-BE12-4E73-B9E7-515ED1826FFC}"/>
    <dataValidation allowBlank="1" showInputMessage="1" showErrorMessage="1" prompt="Payment date is automatically updated in this column" sqref="C12" xr:uid="{865264CE-6376-4E89-87B2-F9C06742D0B5}"/>
    <dataValidation allowBlank="1" showInputMessage="1" showErrorMessage="1" prompt="Payment number is automatically updated in this column" sqref="B12" xr:uid="{3722CEBE-6D02-4543-A99D-57CB5CE5899B}"/>
    <dataValidation allowBlank="1" showInputMessage="1" showErrorMessage="1" prompt="Automatically updated total early payments" sqref="I6" xr:uid="{BD2DF144-B93E-4334-AB73-B0DE30CF229A}"/>
    <dataValidation allowBlank="1" showInputMessage="1" showErrorMessage="1" prompt="Worksheet title is in this cell. Enter loan values in cells E3 to E7 &amp; extra payments in cell E9, loan summary in column I &amp; Payment Schedule table will automatically update" sqref="B1" xr:uid="{0A819DCE-6BB0-4E70-A508-2AA807A4E269}"/>
    <dataValidation allowBlank="1" showInputMessage="1" showErrorMessage="1" prompt="Loan Summary fields from I3 to I7 are automatically adjusted based on the values entered. Enter the Lender's name in I9" sqref="G2" xr:uid="{0FEFB0AF-0D70-4A59-8978-904E742B666D}"/>
    <dataValidation allowBlank="1" showInputMessage="1" showErrorMessage="1" prompt="Enter loan values in cells E3 to E7 and E9. Description of each loan value is in column C. Payment Schedule table starting in cell B11 will automatically update" sqref="C2" xr:uid="{71D2B2EA-5E59-48F7-89C5-3551A9C7C387}"/>
    <dataValidation allowBlank="1" showInputMessage="1" showErrorMessage="1" prompt="This workbook produces a loan amortization schedule that calculates total interest and total payments &amp; includes the option for extra payments" sqref="A1" xr:uid="{A96C3610-0755-4747-AA89-C3B75CDA0378}"/>
    <dataValidation allowBlank="1" showInputMessage="1" showErrorMessage="1" prompt="Automatically updated actual number of payments" sqref="I5" xr:uid="{BCDA9288-10AA-4773-9D51-90C2696CA0A0}"/>
    <dataValidation allowBlank="1" showInputMessage="1" showErrorMessage="1" prompt="Automatically updated scheduled number of payments" sqref="I4" xr:uid="{756C69F4-F8BC-4385-8A33-25C27BA574C9}"/>
    <dataValidation allowBlank="1" showInputMessage="1" showErrorMessage="1" prompt="Automatically updated scheduled payment amount" sqref="I3" xr:uid="{6F1F1BE6-4DBB-4C10-9B00-749B45DA5D5D}"/>
    <dataValidation allowBlank="1" showInputMessage="1" showErrorMessage="1" prompt="Enter the amount of extra payment in this cell" sqref="E10" xr:uid="{B6E927E5-FA4F-4E84-A014-A9C8F6FD24DE}"/>
    <dataValidation allowBlank="1" showInputMessage="1" showErrorMessage="1" prompt="Enter the number of payments to be made in a year in this cell" sqref="E6" xr:uid="{048ABBA2-A03C-48D9-B4DE-3A498B597137}"/>
    <dataValidation allowBlank="1" showInputMessage="1" showErrorMessage="1" prompt="Enter loan period in years in this cell" sqref="E5" xr:uid="{18B7276B-413E-49C8-B2EF-CCBCFF70B1F9}"/>
    <dataValidation allowBlank="1" showInputMessage="1" showErrorMessage="1" prompt="Enter interest rate to be paid annually in this cell" sqref="E4" xr:uid="{2BB476EA-54DF-4524-A6BA-17A0F92EAB30}"/>
    <dataValidation allowBlank="1" showInputMessage="1" showErrorMessage="1" prompt="Enter Loan Amount in this cell" sqref="E3" xr:uid="{58DCE8A1-C337-4803-A47F-CCE15BA3C084}"/>
    <dataValidation allowBlank="1" showInputMessage="1" showErrorMessage="1" prompt="Automatically calculated total interest" sqref="I7:I8" xr:uid="{11DE55CE-31E9-4F6F-ADE4-0DC6470E0474}"/>
    <dataValidation allowBlank="1" showInputMessage="1" showErrorMessage="1" prompt="Enter the start date of loan in this cell" sqref="E7:E8" xr:uid="{6914CA84-2D42-4622-8901-02086E1B0BFE}"/>
  </dataValidations>
  <printOptions horizontalCentered="1"/>
  <pageMargins left="0.4" right="0.4" top="0.4" bottom="0.5" header="0.3" footer="0.3"/>
  <pageSetup scale="77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026C3-5611-4462-98BC-E4AD5AD101DF}">
  <sheetPr>
    <tabColor theme="4"/>
    <pageSetUpPr autoPageBreaks="0" fitToPage="1"/>
  </sheetPr>
  <dimension ref="B1:K372"/>
  <sheetViews>
    <sheetView showGridLines="0" zoomScaleNormal="100" workbookViewId="0">
      <pane ySplit="12" topLeftCell="A46" activePane="bottomLeft" state="frozen"/>
      <selection pane="bottomLeft" sqref="A1:K51"/>
    </sheetView>
  </sheetViews>
  <sheetFormatPr defaultRowHeight="12" x14ac:dyDescent="0.3"/>
  <cols>
    <col min="1" max="1" width="2.81640625" style="1" customWidth="1"/>
    <col min="2" max="2" width="7.453125" style="1" customWidth="1"/>
    <col min="3" max="3" width="16.36328125" style="1" customWidth="1"/>
    <col min="4" max="4" width="18.26953125" style="1" customWidth="1"/>
    <col min="5" max="10" width="17" style="1" customWidth="1"/>
    <col min="11" max="11" width="19.1796875" style="1" customWidth="1"/>
    <col min="12" max="16384" width="8.7265625" style="1"/>
  </cols>
  <sheetData>
    <row r="1" spans="2:11" s="42" customFormat="1" ht="30" customHeight="1" thickBot="1" x14ac:dyDescent="0.55000000000000004">
      <c r="B1" s="41" t="s">
        <v>0</v>
      </c>
      <c r="C1" s="41"/>
      <c r="D1" s="41"/>
      <c r="E1" s="41"/>
      <c r="F1" s="41" t="s">
        <v>36</v>
      </c>
      <c r="G1" s="41"/>
      <c r="H1" s="41"/>
      <c r="I1" s="41"/>
      <c r="J1" s="41"/>
      <c r="K1" s="41"/>
    </row>
    <row r="2" spans="2:11" ht="20.149999999999999" customHeight="1" thickTop="1" thickBot="1" x14ac:dyDescent="0.35">
      <c r="C2" s="2" t="s">
        <v>1</v>
      </c>
      <c r="D2" s="2"/>
      <c r="E2" s="2"/>
      <c r="G2" s="2" t="s">
        <v>2</v>
      </c>
      <c r="H2" s="2"/>
      <c r="I2" s="2"/>
    </row>
    <row r="3" spans="2:11" ht="14.25" customHeight="1" x14ac:dyDescent="0.3">
      <c r="C3" s="3" t="s">
        <v>3</v>
      </c>
      <c r="D3" s="3"/>
      <c r="E3" s="4">
        <v>35000</v>
      </c>
      <c r="G3" s="5" t="s">
        <v>4</v>
      </c>
      <c r="H3" s="5"/>
      <c r="I3" s="6">
        <f>IF(LoanIsGood,-PMT(InterestRate/PaymentsPerYear,ScheduledNumberOfPayments,LoanAmount),"")</f>
        <v>478.40822177714466</v>
      </c>
    </row>
    <row r="4" spans="2:11" x14ac:dyDescent="0.3">
      <c r="C4" s="7" t="s">
        <v>5</v>
      </c>
      <c r="D4" s="7"/>
      <c r="E4" s="8">
        <v>0.04</v>
      </c>
      <c r="G4" s="9" t="s">
        <v>6</v>
      </c>
      <c r="H4" s="9"/>
      <c r="I4" s="10">
        <f>IF(LoanIsGood,LoanPeriod*PaymentsPerYear,"")</f>
        <v>84</v>
      </c>
    </row>
    <row r="5" spans="2:11" x14ac:dyDescent="0.3">
      <c r="C5" s="7" t="s">
        <v>7</v>
      </c>
      <c r="D5" s="7"/>
      <c r="E5" s="11">
        <v>7</v>
      </c>
      <c r="G5" s="9" t="s">
        <v>8</v>
      </c>
      <c r="H5" s="9"/>
      <c r="I5" s="10">
        <f>ActualNumberOfPayments</f>
        <v>84</v>
      </c>
      <c r="J5" s="12"/>
      <c r="K5" s="12"/>
    </row>
    <row r="6" spans="2:11" x14ac:dyDescent="0.3">
      <c r="C6" s="7" t="s">
        <v>9</v>
      </c>
      <c r="D6" s="7"/>
      <c r="E6" s="13">
        <v>12</v>
      </c>
      <c r="G6" s="9" t="s">
        <v>10</v>
      </c>
      <c r="H6" s="9"/>
      <c r="I6" s="14">
        <f>TotalEarlyPayments</f>
        <v>0</v>
      </c>
    </row>
    <row r="7" spans="2:11" x14ac:dyDescent="0.3">
      <c r="C7" s="7" t="s">
        <v>11</v>
      </c>
      <c r="D7" s="7"/>
      <c r="E7" s="15">
        <v>43739</v>
      </c>
      <c r="G7" s="33" t="s">
        <v>12</v>
      </c>
      <c r="H7" s="33"/>
      <c r="I7" s="34">
        <f>TotalInterest</f>
        <v>5186.2906292801526</v>
      </c>
    </row>
    <row r="8" spans="2:11" x14ac:dyDescent="0.3">
      <c r="C8" s="16"/>
      <c r="D8" s="16"/>
      <c r="E8" s="17"/>
      <c r="G8" s="21" t="s">
        <v>26</v>
      </c>
      <c r="H8" s="21"/>
      <c r="I8" s="22">
        <f>ScheduledPayment</f>
        <v>478.40822177714466</v>
      </c>
    </row>
    <row r="10" spans="2:11" x14ac:dyDescent="0.3">
      <c r="B10" s="23"/>
      <c r="C10" s="24" t="s">
        <v>13</v>
      </c>
      <c r="D10" s="24"/>
      <c r="E10" s="25">
        <v>0</v>
      </c>
      <c r="G10" s="26" t="s">
        <v>14</v>
      </c>
      <c r="H10" s="27" t="s">
        <v>34</v>
      </c>
      <c r="I10" s="27"/>
    </row>
    <row r="12" spans="2:11" ht="35.15" customHeight="1" x14ac:dyDescent="0.3">
      <c r="B12" s="28" t="s">
        <v>15</v>
      </c>
      <c r="C12" s="28" t="s">
        <v>16</v>
      </c>
      <c r="D12" s="29" t="s">
        <v>17</v>
      </c>
      <c r="E12" s="29" t="s">
        <v>18</v>
      </c>
      <c r="F12" s="29" t="s">
        <v>19</v>
      </c>
      <c r="G12" s="29" t="s">
        <v>20</v>
      </c>
      <c r="H12" s="29" t="s">
        <v>21</v>
      </c>
      <c r="I12" s="29" t="s">
        <v>22</v>
      </c>
      <c r="J12" s="29" t="s">
        <v>23</v>
      </c>
      <c r="K12" s="29" t="s">
        <v>24</v>
      </c>
    </row>
    <row r="13" spans="2:11" x14ac:dyDescent="0.3">
      <c r="B13" s="30">
        <f>IF(LoanIsGood,IF(ROW()-ROW(PaymentSchedule434[[#Headers],[PMT NO]])&gt;ScheduledNumberOfPayments,"",ROW()-ROW(PaymentSchedule434[[#Headers],[PMT NO]])),"")</f>
        <v>1</v>
      </c>
      <c r="C13" s="31">
        <f>IF(PaymentSchedule434[[#This Row],[PMT NO]]&lt;&gt;"",EOMONTH(LoanStartDate,ROW(PaymentSchedule434[[#This Row],[PMT NO]])-ROW(PaymentSchedule434[[#Headers],[PMT NO]])-2)+DAY(LoanStartDate),"")</f>
        <v>43739</v>
      </c>
      <c r="D13" s="32">
        <f>IF(PaymentSchedule434[[#This Row],[PMT NO]]&lt;&gt;"",IF(ROW()-ROW(PaymentSchedule434[[#Headers],[BEGINNING BALANCE]])=1,LoanAmount,INDEX(PaymentSchedule434[ENDING BALANCE],ROW()-ROW(PaymentSchedule434[[#Headers],[BEGINNING BALANCE]])-1)),"")</f>
        <v>35000</v>
      </c>
      <c r="E13" s="32">
        <f>IF(PaymentSchedule434[[#This Row],[PMT NO]]&lt;&gt;"",ScheduledPayment,"")</f>
        <v>478.40822177714466</v>
      </c>
      <c r="F13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13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13" s="32">
        <f>IF(PaymentSchedule434[[#This Row],[PMT NO]]&lt;&gt;"",PaymentSchedule434[[#This Row],[TOTAL PAYMENT]]-PaymentSchedule434[[#This Row],[INTEREST]],"")</f>
        <v>361.74155511047798</v>
      </c>
      <c r="I13" s="32">
        <f>IF(PaymentSchedule434[[#This Row],[PMT NO]]&lt;&gt;"",PaymentSchedule434[[#This Row],[BEGINNING BALANCE]]*(InterestRate/PaymentsPerYear),"")</f>
        <v>116.66666666666667</v>
      </c>
      <c r="J13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34638.258444889521</v>
      </c>
      <c r="K13" s="32">
        <f>IF(PaymentSchedule434[[#This Row],[PMT NO]]&lt;&gt;"",SUM(INDEX(PaymentSchedule434[INTEREST],1,1):PaymentSchedule434[[#This Row],[INTEREST]]),"")</f>
        <v>116.66666666666667</v>
      </c>
    </row>
    <row r="14" spans="2:11" x14ac:dyDescent="0.3">
      <c r="B14" s="30">
        <f>IF(LoanIsGood,IF(ROW()-ROW(PaymentSchedule434[[#Headers],[PMT NO]])&gt;ScheduledNumberOfPayments,"",ROW()-ROW(PaymentSchedule434[[#Headers],[PMT NO]])),"")</f>
        <v>2</v>
      </c>
      <c r="C14" s="31">
        <f>IF(PaymentSchedule434[[#This Row],[PMT NO]]&lt;&gt;"",EOMONTH(LoanStartDate,ROW(PaymentSchedule434[[#This Row],[PMT NO]])-ROW(PaymentSchedule434[[#Headers],[PMT NO]])-2)+DAY(LoanStartDate),"")</f>
        <v>43770</v>
      </c>
      <c r="D14" s="32">
        <f>IF(PaymentSchedule434[[#This Row],[PMT NO]]&lt;&gt;"",IF(ROW()-ROW(PaymentSchedule434[[#Headers],[BEGINNING BALANCE]])=1,LoanAmount,INDEX(PaymentSchedule434[ENDING BALANCE],ROW()-ROW(PaymentSchedule434[[#Headers],[BEGINNING BALANCE]])-1)),"")</f>
        <v>34638.258444889521</v>
      </c>
      <c r="E14" s="32">
        <f>IF(PaymentSchedule434[[#This Row],[PMT NO]]&lt;&gt;"",ScheduledPayment,"")</f>
        <v>478.40822177714466</v>
      </c>
      <c r="F14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14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14" s="32">
        <f>IF(PaymentSchedule434[[#This Row],[PMT NO]]&lt;&gt;"",PaymentSchedule434[[#This Row],[TOTAL PAYMENT]]-PaymentSchedule434[[#This Row],[INTEREST]],"")</f>
        <v>362.94736029417959</v>
      </c>
      <c r="I14" s="32">
        <f>IF(PaymentSchedule434[[#This Row],[PMT NO]]&lt;&gt;"",PaymentSchedule434[[#This Row],[BEGINNING BALANCE]]*(InterestRate/PaymentsPerYear),"")</f>
        <v>115.46086148296507</v>
      </c>
      <c r="J14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34275.311084595342</v>
      </c>
      <c r="K14" s="32">
        <f>IF(PaymentSchedule434[[#This Row],[PMT NO]]&lt;&gt;"",SUM(INDEX(PaymentSchedule434[INTEREST],1,1):PaymentSchedule434[[#This Row],[INTEREST]]),"")</f>
        <v>232.12752814963176</v>
      </c>
    </row>
    <row r="15" spans="2:11" x14ac:dyDescent="0.3">
      <c r="B15" s="30">
        <f>IF(LoanIsGood,IF(ROW()-ROW(PaymentSchedule434[[#Headers],[PMT NO]])&gt;ScheduledNumberOfPayments,"",ROW()-ROW(PaymentSchedule434[[#Headers],[PMT NO]])),"")</f>
        <v>3</v>
      </c>
      <c r="C15" s="31">
        <f>IF(PaymentSchedule434[[#This Row],[PMT NO]]&lt;&gt;"",EOMONTH(LoanStartDate,ROW(PaymentSchedule434[[#This Row],[PMT NO]])-ROW(PaymentSchedule434[[#Headers],[PMT NO]])-2)+DAY(LoanStartDate),"")</f>
        <v>43800</v>
      </c>
      <c r="D15" s="32">
        <f>IF(PaymentSchedule434[[#This Row],[PMT NO]]&lt;&gt;"",IF(ROW()-ROW(PaymentSchedule434[[#Headers],[BEGINNING BALANCE]])=1,LoanAmount,INDEX(PaymentSchedule434[ENDING BALANCE],ROW()-ROW(PaymentSchedule434[[#Headers],[BEGINNING BALANCE]])-1)),"")</f>
        <v>34275.311084595342</v>
      </c>
      <c r="E15" s="32">
        <f>IF(PaymentSchedule434[[#This Row],[PMT NO]]&lt;&gt;"",ScheduledPayment,"")</f>
        <v>478.40822177714466</v>
      </c>
      <c r="F15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15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15" s="32">
        <f>IF(PaymentSchedule434[[#This Row],[PMT NO]]&lt;&gt;"",PaymentSchedule434[[#This Row],[TOTAL PAYMENT]]-PaymentSchedule434[[#This Row],[INTEREST]],"")</f>
        <v>364.15718482849354</v>
      </c>
      <c r="I15" s="32">
        <f>IF(PaymentSchedule434[[#This Row],[PMT NO]]&lt;&gt;"",PaymentSchedule434[[#This Row],[BEGINNING BALANCE]]*(InterestRate/PaymentsPerYear),"")</f>
        <v>114.25103694865115</v>
      </c>
      <c r="J15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33911.153899766847</v>
      </c>
      <c r="K15" s="32">
        <f>IF(PaymentSchedule434[[#This Row],[PMT NO]]&lt;&gt;"",SUM(INDEX(PaymentSchedule434[INTEREST],1,1):PaymentSchedule434[[#This Row],[INTEREST]]),"")</f>
        <v>346.37856509828293</v>
      </c>
    </row>
    <row r="16" spans="2:11" x14ac:dyDescent="0.3">
      <c r="B16" s="30">
        <f>IF(LoanIsGood,IF(ROW()-ROW(PaymentSchedule434[[#Headers],[PMT NO]])&gt;ScheduledNumberOfPayments,"",ROW()-ROW(PaymentSchedule434[[#Headers],[PMT NO]])),"")</f>
        <v>4</v>
      </c>
      <c r="C16" s="31">
        <f>IF(PaymentSchedule434[[#This Row],[PMT NO]]&lt;&gt;"",EOMONTH(LoanStartDate,ROW(PaymentSchedule434[[#This Row],[PMT NO]])-ROW(PaymentSchedule434[[#Headers],[PMT NO]])-2)+DAY(LoanStartDate),"")</f>
        <v>43831</v>
      </c>
      <c r="D16" s="32">
        <f>IF(PaymentSchedule434[[#This Row],[PMT NO]]&lt;&gt;"",IF(ROW()-ROW(PaymentSchedule434[[#Headers],[BEGINNING BALANCE]])=1,LoanAmount,INDEX(PaymentSchedule434[ENDING BALANCE],ROW()-ROW(PaymentSchedule434[[#Headers],[BEGINNING BALANCE]])-1)),"")</f>
        <v>33911.153899766847</v>
      </c>
      <c r="E16" s="32">
        <f>IF(PaymentSchedule434[[#This Row],[PMT NO]]&lt;&gt;"",ScheduledPayment,"")</f>
        <v>478.40822177714466</v>
      </c>
      <c r="F16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16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16" s="32">
        <f>IF(PaymentSchedule434[[#This Row],[PMT NO]]&lt;&gt;"",PaymentSchedule434[[#This Row],[TOTAL PAYMENT]]-PaymentSchedule434[[#This Row],[INTEREST]],"")</f>
        <v>365.37104211125518</v>
      </c>
      <c r="I16" s="32">
        <f>IF(PaymentSchedule434[[#This Row],[PMT NO]]&lt;&gt;"",PaymentSchedule434[[#This Row],[BEGINNING BALANCE]]*(InterestRate/PaymentsPerYear),"")</f>
        <v>113.0371796658895</v>
      </c>
      <c r="J16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33545.782857655591</v>
      </c>
      <c r="K16" s="32">
        <f>IF(PaymentSchedule434[[#This Row],[PMT NO]]&lt;&gt;"",SUM(INDEX(PaymentSchedule434[INTEREST],1,1):PaymentSchedule434[[#This Row],[INTEREST]]),"")</f>
        <v>459.41574476417242</v>
      </c>
    </row>
    <row r="17" spans="2:11" x14ac:dyDescent="0.3">
      <c r="B17" s="30">
        <f>IF(LoanIsGood,IF(ROW()-ROW(PaymentSchedule434[[#Headers],[PMT NO]])&gt;ScheduledNumberOfPayments,"",ROW()-ROW(PaymentSchedule434[[#Headers],[PMT NO]])),"")</f>
        <v>5</v>
      </c>
      <c r="C17" s="31">
        <f>IF(PaymentSchedule434[[#This Row],[PMT NO]]&lt;&gt;"",EOMONTH(LoanStartDate,ROW(PaymentSchedule434[[#This Row],[PMT NO]])-ROW(PaymentSchedule434[[#Headers],[PMT NO]])-2)+DAY(LoanStartDate),"")</f>
        <v>43862</v>
      </c>
      <c r="D17" s="32">
        <f>IF(PaymentSchedule434[[#This Row],[PMT NO]]&lt;&gt;"",IF(ROW()-ROW(PaymentSchedule434[[#Headers],[BEGINNING BALANCE]])=1,LoanAmount,INDEX(PaymentSchedule434[ENDING BALANCE],ROW()-ROW(PaymentSchedule434[[#Headers],[BEGINNING BALANCE]])-1)),"")</f>
        <v>33545.782857655591</v>
      </c>
      <c r="E17" s="32">
        <f>IF(PaymentSchedule434[[#This Row],[PMT NO]]&lt;&gt;"",ScheduledPayment,"")</f>
        <v>478.40822177714466</v>
      </c>
      <c r="F17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17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17" s="32">
        <f>IF(PaymentSchedule434[[#This Row],[PMT NO]]&lt;&gt;"",PaymentSchedule434[[#This Row],[TOTAL PAYMENT]]-PaymentSchedule434[[#This Row],[INTEREST]],"")</f>
        <v>366.58894558495933</v>
      </c>
      <c r="I17" s="32">
        <f>IF(PaymentSchedule434[[#This Row],[PMT NO]]&lt;&gt;"",PaymentSchedule434[[#This Row],[BEGINNING BALANCE]]*(InterestRate/PaymentsPerYear),"")</f>
        <v>111.81927619218531</v>
      </c>
      <c r="J17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33179.19391207063</v>
      </c>
      <c r="K17" s="32">
        <f>IF(PaymentSchedule434[[#This Row],[PMT NO]]&lt;&gt;"",SUM(INDEX(PaymentSchedule434[INTEREST],1,1):PaymentSchedule434[[#This Row],[INTEREST]]),"")</f>
        <v>571.23502095635774</v>
      </c>
    </row>
    <row r="18" spans="2:11" x14ac:dyDescent="0.3">
      <c r="B18" s="30">
        <f>IF(LoanIsGood,IF(ROW()-ROW(PaymentSchedule434[[#Headers],[PMT NO]])&gt;ScheduledNumberOfPayments,"",ROW()-ROW(PaymentSchedule434[[#Headers],[PMT NO]])),"")</f>
        <v>6</v>
      </c>
      <c r="C18" s="31">
        <f>IF(PaymentSchedule434[[#This Row],[PMT NO]]&lt;&gt;"",EOMONTH(LoanStartDate,ROW(PaymentSchedule434[[#This Row],[PMT NO]])-ROW(PaymentSchedule434[[#Headers],[PMT NO]])-2)+DAY(LoanStartDate),"")</f>
        <v>43891</v>
      </c>
      <c r="D18" s="32">
        <f>IF(PaymentSchedule434[[#This Row],[PMT NO]]&lt;&gt;"",IF(ROW()-ROW(PaymentSchedule434[[#Headers],[BEGINNING BALANCE]])=1,LoanAmount,INDEX(PaymentSchedule434[ENDING BALANCE],ROW()-ROW(PaymentSchedule434[[#Headers],[BEGINNING BALANCE]])-1)),"")</f>
        <v>33179.19391207063</v>
      </c>
      <c r="E18" s="32">
        <f>IF(PaymentSchedule434[[#This Row],[PMT NO]]&lt;&gt;"",ScheduledPayment,"")</f>
        <v>478.40822177714466</v>
      </c>
      <c r="F18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18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18" s="32">
        <f>IF(PaymentSchedule434[[#This Row],[PMT NO]]&lt;&gt;"",PaymentSchedule434[[#This Row],[TOTAL PAYMENT]]-PaymentSchedule434[[#This Row],[INTEREST]],"")</f>
        <v>367.81090873690925</v>
      </c>
      <c r="I18" s="32">
        <f>IF(PaymentSchedule434[[#This Row],[PMT NO]]&lt;&gt;"",PaymentSchedule434[[#This Row],[BEGINNING BALANCE]]*(InterestRate/PaymentsPerYear),"")</f>
        <v>110.59731304023543</v>
      </c>
      <c r="J18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32811.383003333722</v>
      </c>
      <c r="K18" s="32">
        <f>IF(PaymentSchedule434[[#This Row],[PMT NO]]&lt;&gt;"",SUM(INDEX(PaymentSchedule434[INTEREST],1,1):PaymentSchedule434[[#This Row],[INTEREST]]),"")</f>
        <v>681.83233399659321</v>
      </c>
    </row>
    <row r="19" spans="2:11" x14ac:dyDescent="0.3">
      <c r="B19" s="30">
        <f>IF(LoanIsGood,IF(ROW()-ROW(PaymentSchedule434[[#Headers],[PMT NO]])&gt;ScheduledNumberOfPayments,"",ROW()-ROW(PaymentSchedule434[[#Headers],[PMT NO]])),"")</f>
        <v>7</v>
      </c>
      <c r="C19" s="31">
        <f>IF(PaymentSchedule434[[#This Row],[PMT NO]]&lt;&gt;"",EOMONTH(LoanStartDate,ROW(PaymentSchedule434[[#This Row],[PMT NO]])-ROW(PaymentSchedule434[[#Headers],[PMT NO]])-2)+DAY(LoanStartDate),"")</f>
        <v>43922</v>
      </c>
      <c r="D19" s="32">
        <f>IF(PaymentSchedule434[[#This Row],[PMT NO]]&lt;&gt;"",IF(ROW()-ROW(PaymentSchedule434[[#Headers],[BEGINNING BALANCE]])=1,LoanAmount,INDEX(PaymentSchedule434[ENDING BALANCE],ROW()-ROW(PaymentSchedule434[[#Headers],[BEGINNING BALANCE]])-1)),"")</f>
        <v>32811.383003333722</v>
      </c>
      <c r="E19" s="32">
        <f>IF(PaymentSchedule434[[#This Row],[PMT NO]]&lt;&gt;"",ScheduledPayment,"")</f>
        <v>478.40822177714466</v>
      </c>
      <c r="F19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19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19" s="32">
        <f>IF(PaymentSchedule434[[#This Row],[PMT NO]]&lt;&gt;"",PaymentSchedule434[[#This Row],[TOTAL PAYMENT]]-PaymentSchedule434[[#This Row],[INTEREST]],"")</f>
        <v>369.0369450993656</v>
      </c>
      <c r="I19" s="32">
        <f>IF(PaymentSchedule434[[#This Row],[PMT NO]]&lt;&gt;"",PaymentSchedule434[[#This Row],[BEGINNING BALANCE]]*(InterestRate/PaymentsPerYear),"")</f>
        <v>109.37127667777908</v>
      </c>
      <c r="J19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32442.346058234358</v>
      </c>
      <c r="K19" s="32">
        <f>IF(PaymentSchedule434[[#This Row],[PMT NO]]&lt;&gt;"",SUM(INDEX(PaymentSchedule434[INTEREST],1,1):PaymentSchedule434[[#This Row],[INTEREST]]),"")</f>
        <v>791.20361067437227</v>
      </c>
    </row>
    <row r="20" spans="2:11" x14ac:dyDescent="0.3">
      <c r="B20" s="30">
        <f>IF(LoanIsGood,IF(ROW()-ROW(PaymentSchedule434[[#Headers],[PMT NO]])&gt;ScheduledNumberOfPayments,"",ROW()-ROW(PaymentSchedule434[[#Headers],[PMT NO]])),"")</f>
        <v>8</v>
      </c>
      <c r="C20" s="31">
        <f>IF(PaymentSchedule434[[#This Row],[PMT NO]]&lt;&gt;"",EOMONTH(LoanStartDate,ROW(PaymentSchedule434[[#This Row],[PMT NO]])-ROW(PaymentSchedule434[[#Headers],[PMT NO]])-2)+DAY(LoanStartDate),"")</f>
        <v>43952</v>
      </c>
      <c r="D20" s="32">
        <f>IF(PaymentSchedule434[[#This Row],[PMT NO]]&lt;&gt;"",IF(ROW()-ROW(PaymentSchedule434[[#Headers],[BEGINNING BALANCE]])=1,LoanAmount,INDEX(PaymentSchedule434[ENDING BALANCE],ROW()-ROW(PaymentSchedule434[[#Headers],[BEGINNING BALANCE]])-1)),"")</f>
        <v>32442.346058234358</v>
      </c>
      <c r="E20" s="32">
        <f>IF(PaymentSchedule434[[#This Row],[PMT NO]]&lt;&gt;"",ScheduledPayment,"")</f>
        <v>478.40822177714466</v>
      </c>
      <c r="F20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20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20" s="32">
        <f>IF(PaymentSchedule434[[#This Row],[PMT NO]]&lt;&gt;"",PaymentSchedule434[[#This Row],[TOTAL PAYMENT]]-PaymentSchedule434[[#This Row],[INTEREST]],"")</f>
        <v>370.26706824969676</v>
      </c>
      <c r="I20" s="32">
        <f>IF(PaymentSchedule434[[#This Row],[PMT NO]]&lt;&gt;"",PaymentSchedule434[[#This Row],[BEGINNING BALANCE]]*(InterestRate/PaymentsPerYear),"")</f>
        <v>108.14115352744787</v>
      </c>
      <c r="J20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32072.07898998466</v>
      </c>
      <c r="K20" s="32">
        <f>IF(PaymentSchedule434[[#This Row],[PMT NO]]&lt;&gt;"",SUM(INDEX(PaymentSchedule434[INTEREST],1,1):PaymentSchedule434[[#This Row],[INTEREST]]),"")</f>
        <v>899.34476420182011</v>
      </c>
    </row>
    <row r="21" spans="2:11" x14ac:dyDescent="0.3">
      <c r="B21" s="30">
        <f>IF(LoanIsGood,IF(ROW()-ROW(PaymentSchedule434[[#Headers],[PMT NO]])&gt;ScheduledNumberOfPayments,"",ROW()-ROW(PaymentSchedule434[[#Headers],[PMT NO]])),"")</f>
        <v>9</v>
      </c>
      <c r="C21" s="31">
        <f>IF(PaymentSchedule434[[#This Row],[PMT NO]]&lt;&gt;"",EOMONTH(LoanStartDate,ROW(PaymentSchedule434[[#This Row],[PMT NO]])-ROW(PaymentSchedule434[[#Headers],[PMT NO]])-2)+DAY(LoanStartDate),"")</f>
        <v>43983</v>
      </c>
      <c r="D21" s="32">
        <f>IF(PaymentSchedule434[[#This Row],[PMT NO]]&lt;&gt;"",IF(ROW()-ROW(PaymentSchedule434[[#Headers],[BEGINNING BALANCE]])=1,LoanAmount,INDEX(PaymentSchedule434[ENDING BALANCE],ROW()-ROW(PaymentSchedule434[[#Headers],[BEGINNING BALANCE]])-1)),"")</f>
        <v>32072.07898998466</v>
      </c>
      <c r="E21" s="32">
        <f>IF(PaymentSchedule434[[#This Row],[PMT NO]]&lt;&gt;"",ScheduledPayment,"")</f>
        <v>478.40822177714466</v>
      </c>
      <c r="F21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21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21" s="32">
        <f>IF(PaymentSchedule434[[#This Row],[PMT NO]]&lt;&gt;"",PaymentSchedule434[[#This Row],[TOTAL PAYMENT]]-PaymentSchedule434[[#This Row],[INTEREST]],"")</f>
        <v>371.5012918105291</v>
      </c>
      <c r="I21" s="32">
        <f>IF(PaymentSchedule434[[#This Row],[PMT NO]]&lt;&gt;"",PaymentSchedule434[[#This Row],[BEGINNING BALANCE]]*(InterestRate/PaymentsPerYear),"")</f>
        <v>106.90692996661554</v>
      </c>
      <c r="J21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31700.577698174133</v>
      </c>
      <c r="K21" s="32">
        <f>IF(PaymentSchedule434[[#This Row],[PMT NO]]&lt;&gt;"",SUM(INDEX(PaymentSchedule434[INTEREST],1,1):PaymentSchedule434[[#This Row],[INTEREST]]),"")</f>
        <v>1006.2516941684356</v>
      </c>
    </row>
    <row r="22" spans="2:11" x14ac:dyDescent="0.3">
      <c r="B22" s="30">
        <f>IF(LoanIsGood,IF(ROW()-ROW(PaymentSchedule434[[#Headers],[PMT NO]])&gt;ScheduledNumberOfPayments,"",ROW()-ROW(PaymentSchedule434[[#Headers],[PMT NO]])),"")</f>
        <v>10</v>
      </c>
      <c r="C22" s="31">
        <f>IF(PaymentSchedule434[[#This Row],[PMT NO]]&lt;&gt;"",EOMONTH(LoanStartDate,ROW(PaymentSchedule434[[#This Row],[PMT NO]])-ROW(PaymentSchedule434[[#Headers],[PMT NO]])-2)+DAY(LoanStartDate),"")</f>
        <v>44013</v>
      </c>
      <c r="D22" s="32">
        <f>IF(PaymentSchedule434[[#This Row],[PMT NO]]&lt;&gt;"",IF(ROW()-ROW(PaymentSchedule434[[#Headers],[BEGINNING BALANCE]])=1,LoanAmount,INDEX(PaymentSchedule434[ENDING BALANCE],ROW()-ROW(PaymentSchedule434[[#Headers],[BEGINNING BALANCE]])-1)),"")</f>
        <v>31700.577698174133</v>
      </c>
      <c r="E22" s="32">
        <f>IF(PaymentSchedule434[[#This Row],[PMT NO]]&lt;&gt;"",ScheduledPayment,"")</f>
        <v>478.40822177714466</v>
      </c>
      <c r="F22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22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22" s="32">
        <f>IF(PaymentSchedule434[[#This Row],[PMT NO]]&lt;&gt;"",PaymentSchedule434[[#This Row],[TOTAL PAYMENT]]-PaymentSchedule434[[#This Row],[INTEREST]],"")</f>
        <v>372.73962944989756</v>
      </c>
      <c r="I22" s="32">
        <f>IF(PaymentSchedule434[[#This Row],[PMT NO]]&lt;&gt;"",PaymentSchedule434[[#This Row],[BEGINNING BALANCE]]*(InterestRate/PaymentsPerYear),"")</f>
        <v>105.66859232724711</v>
      </c>
      <c r="J22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31327.838068724235</v>
      </c>
      <c r="K22" s="32">
        <f>IF(PaymentSchedule434[[#This Row],[PMT NO]]&lt;&gt;"",SUM(INDEX(PaymentSchedule434[INTEREST],1,1):PaymentSchedule434[[#This Row],[INTEREST]]),"")</f>
        <v>1111.9202864956828</v>
      </c>
    </row>
    <row r="23" spans="2:11" x14ac:dyDescent="0.3">
      <c r="B23" s="30">
        <f>IF(LoanIsGood,IF(ROW()-ROW(PaymentSchedule434[[#Headers],[PMT NO]])&gt;ScheduledNumberOfPayments,"",ROW()-ROW(PaymentSchedule434[[#Headers],[PMT NO]])),"")</f>
        <v>11</v>
      </c>
      <c r="C23" s="31">
        <f>IF(PaymentSchedule434[[#This Row],[PMT NO]]&lt;&gt;"",EOMONTH(LoanStartDate,ROW(PaymentSchedule434[[#This Row],[PMT NO]])-ROW(PaymentSchedule434[[#Headers],[PMT NO]])-2)+DAY(LoanStartDate),"")</f>
        <v>44044</v>
      </c>
      <c r="D23" s="32">
        <f>IF(PaymentSchedule434[[#This Row],[PMT NO]]&lt;&gt;"",IF(ROW()-ROW(PaymentSchedule434[[#Headers],[BEGINNING BALANCE]])=1,LoanAmount,INDEX(PaymentSchedule434[ENDING BALANCE],ROW()-ROW(PaymentSchedule434[[#Headers],[BEGINNING BALANCE]])-1)),"")</f>
        <v>31327.838068724235</v>
      </c>
      <c r="E23" s="32">
        <f>IF(PaymentSchedule434[[#This Row],[PMT NO]]&lt;&gt;"",ScheduledPayment,"")</f>
        <v>478.40822177714466</v>
      </c>
      <c r="F23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23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23" s="32">
        <f>IF(PaymentSchedule434[[#This Row],[PMT NO]]&lt;&gt;"",PaymentSchedule434[[#This Row],[TOTAL PAYMENT]]-PaymentSchedule434[[#This Row],[INTEREST]],"")</f>
        <v>373.98209488139719</v>
      </c>
      <c r="I23" s="32">
        <f>IF(PaymentSchedule434[[#This Row],[PMT NO]]&lt;&gt;"",PaymentSchedule434[[#This Row],[BEGINNING BALANCE]]*(InterestRate/PaymentsPerYear),"")</f>
        <v>104.42612689574746</v>
      </c>
      <c r="J23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30953.855973842838</v>
      </c>
      <c r="K23" s="32">
        <f>IF(PaymentSchedule434[[#This Row],[PMT NO]]&lt;&gt;"",SUM(INDEX(PaymentSchedule434[INTEREST],1,1):PaymentSchedule434[[#This Row],[INTEREST]]),"")</f>
        <v>1216.3464133914304</v>
      </c>
    </row>
    <row r="24" spans="2:11" x14ac:dyDescent="0.3">
      <c r="B24" s="30">
        <f>IF(LoanIsGood,IF(ROW()-ROW(PaymentSchedule434[[#Headers],[PMT NO]])&gt;ScheduledNumberOfPayments,"",ROW()-ROW(PaymentSchedule434[[#Headers],[PMT NO]])),"")</f>
        <v>12</v>
      </c>
      <c r="C24" s="31">
        <f>IF(PaymentSchedule434[[#This Row],[PMT NO]]&lt;&gt;"",EOMONTH(LoanStartDate,ROW(PaymentSchedule434[[#This Row],[PMT NO]])-ROW(PaymentSchedule434[[#Headers],[PMT NO]])-2)+DAY(LoanStartDate),"")</f>
        <v>44075</v>
      </c>
      <c r="D24" s="32">
        <f>IF(PaymentSchedule434[[#This Row],[PMT NO]]&lt;&gt;"",IF(ROW()-ROW(PaymentSchedule434[[#Headers],[BEGINNING BALANCE]])=1,LoanAmount,INDEX(PaymentSchedule434[ENDING BALANCE],ROW()-ROW(PaymentSchedule434[[#Headers],[BEGINNING BALANCE]])-1)),"")</f>
        <v>30953.855973842838</v>
      </c>
      <c r="E24" s="32">
        <f>IF(PaymentSchedule434[[#This Row],[PMT NO]]&lt;&gt;"",ScheduledPayment,"")</f>
        <v>478.40822177714466</v>
      </c>
      <c r="F24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24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24" s="32">
        <f>IF(PaymentSchedule434[[#This Row],[PMT NO]]&lt;&gt;"",PaymentSchedule434[[#This Row],[TOTAL PAYMENT]]-PaymentSchedule434[[#This Row],[INTEREST]],"")</f>
        <v>375.22870186433522</v>
      </c>
      <c r="I24" s="32">
        <f>IF(PaymentSchedule434[[#This Row],[PMT NO]]&lt;&gt;"",PaymentSchedule434[[#This Row],[BEGINNING BALANCE]]*(InterestRate/PaymentsPerYear),"")</f>
        <v>103.17951991280947</v>
      </c>
      <c r="J24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30578.627271978501</v>
      </c>
      <c r="K24" s="32">
        <f>IF(PaymentSchedule434[[#This Row],[PMT NO]]&lt;&gt;"",SUM(INDEX(PaymentSchedule434[INTEREST],1,1):PaymentSchedule434[[#This Row],[INTEREST]]),"")</f>
        <v>1319.5259333042397</v>
      </c>
    </row>
    <row r="25" spans="2:11" x14ac:dyDescent="0.3">
      <c r="B25" s="30">
        <f>IF(LoanIsGood,IF(ROW()-ROW(PaymentSchedule434[[#Headers],[PMT NO]])&gt;ScheduledNumberOfPayments,"",ROW()-ROW(PaymentSchedule434[[#Headers],[PMT NO]])),"")</f>
        <v>13</v>
      </c>
      <c r="C25" s="31">
        <f>IF(PaymentSchedule434[[#This Row],[PMT NO]]&lt;&gt;"",EOMONTH(LoanStartDate,ROW(PaymentSchedule434[[#This Row],[PMT NO]])-ROW(PaymentSchedule434[[#Headers],[PMT NO]])-2)+DAY(LoanStartDate),"")</f>
        <v>44105</v>
      </c>
      <c r="D25" s="32">
        <f>IF(PaymentSchedule434[[#This Row],[PMT NO]]&lt;&gt;"",IF(ROW()-ROW(PaymentSchedule434[[#Headers],[BEGINNING BALANCE]])=1,LoanAmount,INDEX(PaymentSchedule434[ENDING BALANCE],ROW()-ROW(PaymentSchedule434[[#Headers],[BEGINNING BALANCE]])-1)),"")</f>
        <v>30578.627271978501</v>
      </c>
      <c r="E25" s="32">
        <f>IF(PaymentSchedule434[[#This Row],[PMT NO]]&lt;&gt;"",ScheduledPayment,"")</f>
        <v>478.40822177714466</v>
      </c>
      <c r="F25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25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25" s="32">
        <f>IF(PaymentSchedule434[[#This Row],[PMT NO]]&lt;&gt;"",PaymentSchedule434[[#This Row],[TOTAL PAYMENT]]-PaymentSchedule434[[#This Row],[INTEREST]],"")</f>
        <v>376.47946420388297</v>
      </c>
      <c r="I25" s="32">
        <f>IF(PaymentSchedule434[[#This Row],[PMT NO]]&lt;&gt;"",PaymentSchedule434[[#This Row],[BEGINNING BALANCE]]*(InterestRate/PaymentsPerYear),"")</f>
        <v>101.92875757326168</v>
      </c>
      <c r="J25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30202.147807774618</v>
      </c>
      <c r="K25" s="32">
        <f>IF(PaymentSchedule434[[#This Row],[PMT NO]]&lt;&gt;"",SUM(INDEX(PaymentSchedule434[INTEREST],1,1):PaymentSchedule434[[#This Row],[INTEREST]]),"")</f>
        <v>1421.4546908775014</v>
      </c>
    </row>
    <row r="26" spans="2:11" x14ac:dyDescent="0.3">
      <c r="B26" s="30">
        <f>IF(LoanIsGood,IF(ROW()-ROW(PaymentSchedule434[[#Headers],[PMT NO]])&gt;ScheduledNumberOfPayments,"",ROW()-ROW(PaymentSchedule434[[#Headers],[PMT NO]])),"")</f>
        <v>14</v>
      </c>
      <c r="C26" s="31">
        <f>IF(PaymentSchedule434[[#This Row],[PMT NO]]&lt;&gt;"",EOMONTH(LoanStartDate,ROW(PaymentSchedule434[[#This Row],[PMT NO]])-ROW(PaymentSchedule434[[#Headers],[PMT NO]])-2)+DAY(LoanStartDate),"")</f>
        <v>44136</v>
      </c>
      <c r="D26" s="32">
        <f>IF(PaymentSchedule434[[#This Row],[PMT NO]]&lt;&gt;"",IF(ROW()-ROW(PaymentSchedule434[[#Headers],[BEGINNING BALANCE]])=1,LoanAmount,INDEX(PaymentSchedule434[ENDING BALANCE],ROW()-ROW(PaymentSchedule434[[#Headers],[BEGINNING BALANCE]])-1)),"")</f>
        <v>30202.147807774618</v>
      </c>
      <c r="E26" s="32">
        <f>IF(PaymentSchedule434[[#This Row],[PMT NO]]&lt;&gt;"",ScheduledPayment,"")</f>
        <v>478.40822177714466</v>
      </c>
      <c r="F26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26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26" s="32">
        <f>IF(PaymentSchedule434[[#This Row],[PMT NO]]&lt;&gt;"",PaymentSchedule434[[#This Row],[TOTAL PAYMENT]]-PaymentSchedule434[[#This Row],[INTEREST]],"")</f>
        <v>377.73439575122927</v>
      </c>
      <c r="I26" s="32">
        <f>IF(PaymentSchedule434[[#This Row],[PMT NO]]&lt;&gt;"",PaymentSchedule434[[#This Row],[BEGINNING BALANCE]]*(InterestRate/PaymentsPerYear),"")</f>
        <v>100.6738260259154</v>
      </c>
      <c r="J26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29824.41341202339</v>
      </c>
      <c r="K26" s="32">
        <f>IF(PaymentSchedule434[[#This Row],[PMT NO]]&lt;&gt;"",SUM(INDEX(PaymentSchedule434[INTEREST],1,1):PaymentSchedule434[[#This Row],[INTEREST]]),"")</f>
        <v>1522.1285169034168</v>
      </c>
    </row>
    <row r="27" spans="2:11" x14ac:dyDescent="0.3">
      <c r="B27" s="30">
        <f>IF(LoanIsGood,IF(ROW()-ROW(PaymentSchedule434[[#Headers],[PMT NO]])&gt;ScheduledNumberOfPayments,"",ROW()-ROW(PaymentSchedule434[[#Headers],[PMT NO]])),"")</f>
        <v>15</v>
      </c>
      <c r="C27" s="31">
        <f>IF(PaymentSchedule434[[#This Row],[PMT NO]]&lt;&gt;"",EOMONTH(LoanStartDate,ROW(PaymentSchedule434[[#This Row],[PMT NO]])-ROW(PaymentSchedule434[[#Headers],[PMT NO]])-2)+DAY(LoanStartDate),"")</f>
        <v>44166</v>
      </c>
      <c r="D27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29824.41341202339</v>
      </c>
      <c r="E27" s="32">
        <f>IF(PaymentSchedule434[[#This Row],[PMT NO]]&lt;&gt;"",ScheduledPayment,"")</f>
        <v>478.40822177714466</v>
      </c>
      <c r="F27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27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27" s="32">
        <f>IF(PaymentSchedule434[[#This Row],[PMT NO]]&lt;&gt;"",PaymentSchedule434[[#This Row],[TOTAL PAYMENT]]-PaymentSchedule434[[#This Row],[INTEREST]],"")</f>
        <v>378.99351040373335</v>
      </c>
      <c r="I27" s="32">
        <f>IF(PaymentSchedule434[[#This Row],[PMT NO]]&lt;&gt;"",PaymentSchedule434[[#This Row],[BEGINNING BALANCE]]*(InterestRate/PaymentsPerYear),"")</f>
        <v>99.414711373411308</v>
      </c>
      <c r="J27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29445.419901619658</v>
      </c>
      <c r="K27" s="32">
        <f>IF(PaymentSchedule434[[#This Row],[PMT NO]]&lt;&gt;"",SUM(INDEX(PaymentSchedule434[INTEREST],1,1):PaymentSchedule434[[#This Row],[INTEREST]]),"")</f>
        <v>1621.5432282768281</v>
      </c>
    </row>
    <row r="28" spans="2:11" x14ac:dyDescent="0.3">
      <c r="B28" s="30">
        <f>IF(LoanIsGood,IF(ROW()-ROW(PaymentSchedule434[[#Headers],[PMT NO]])&gt;ScheduledNumberOfPayments,"",ROW()-ROW(PaymentSchedule434[[#Headers],[PMT NO]])),"")</f>
        <v>16</v>
      </c>
      <c r="C28" s="31">
        <f>IF(PaymentSchedule434[[#This Row],[PMT NO]]&lt;&gt;"",EOMONTH(LoanStartDate,ROW(PaymentSchedule434[[#This Row],[PMT NO]])-ROW(PaymentSchedule434[[#Headers],[PMT NO]])-2)+DAY(LoanStartDate),"")</f>
        <v>44197</v>
      </c>
      <c r="D28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29445.419901619658</v>
      </c>
      <c r="E28" s="32">
        <f>IF(PaymentSchedule434[[#This Row],[PMT NO]]&lt;&gt;"",ScheduledPayment,"")</f>
        <v>478.40822177714466</v>
      </c>
      <c r="F28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28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28" s="32">
        <f>IF(PaymentSchedule434[[#This Row],[PMT NO]]&lt;&gt;"",PaymentSchedule434[[#This Row],[TOTAL PAYMENT]]-PaymentSchedule434[[#This Row],[INTEREST]],"")</f>
        <v>380.2568221050791</v>
      </c>
      <c r="I28" s="32">
        <f>IF(PaymentSchedule434[[#This Row],[PMT NO]]&lt;&gt;"",PaymentSchedule434[[#This Row],[BEGINNING BALANCE]]*(InterestRate/PaymentsPerYear),"")</f>
        <v>98.151399672065537</v>
      </c>
      <c r="J28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29065.163079514579</v>
      </c>
      <c r="K28" s="32">
        <f>IF(PaymentSchedule434[[#This Row],[PMT NO]]&lt;&gt;"",SUM(INDEX(PaymentSchedule434[INTEREST],1,1):PaymentSchedule434[[#This Row],[INTEREST]]),"")</f>
        <v>1719.6946279488936</v>
      </c>
    </row>
    <row r="29" spans="2:11" x14ac:dyDescent="0.3">
      <c r="B29" s="30">
        <f>IF(LoanIsGood,IF(ROW()-ROW(PaymentSchedule434[[#Headers],[PMT NO]])&gt;ScheduledNumberOfPayments,"",ROW()-ROW(PaymentSchedule434[[#Headers],[PMT NO]])),"")</f>
        <v>17</v>
      </c>
      <c r="C29" s="31">
        <f>IF(PaymentSchedule434[[#This Row],[PMT NO]]&lt;&gt;"",EOMONTH(LoanStartDate,ROW(PaymentSchedule434[[#This Row],[PMT NO]])-ROW(PaymentSchedule434[[#Headers],[PMT NO]])-2)+DAY(LoanStartDate),"")</f>
        <v>44228</v>
      </c>
      <c r="D29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29065.163079514579</v>
      </c>
      <c r="E29" s="32">
        <f>IF(PaymentSchedule434[[#This Row],[PMT NO]]&lt;&gt;"",ScheduledPayment,"")</f>
        <v>478.40822177714466</v>
      </c>
      <c r="F29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29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29" s="32">
        <f>IF(PaymentSchedule434[[#This Row],[PMT NO]]&lt;&gt;"",PaymentSchedule434[[#This Row],[TOTAL PAYMENT]]-PaymentSchedule434[[#This Row],[INTEREST]],"")</f>
        <v>381.52434484542937</v>
      </c>
      <c r="I29" s="32">
        <f>IF(PaymentSchedule434[[#This Row],[PMT NO]]&lt;&gt;"",PaymentSchedule434[[#This Row],[BEGINNING BALANCE]]*(InterestRate/PaymentsPerYear),"")</f>
        <v>96.883876931715264</v>
      </c>
      <c r="J29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28683.638734669148</v>
      </c>
      <c r="K29" s="32">
        <f>IF(PaymentSchedule434[[#This Row],[PMT NO]]&lt;&gt;"",SUM(INDEX(PaymentSchedule434[INTEREST],1,1):PaymentSchedule434[[#This Row],[INTEREST]]),"")</f>
        <v>1816.578504880609</v>
      </c>
    </row>
    <row r="30" spans="2:11" x14ac:dyDescent="0.3">
      <c r="B30" s="30">
        <f>IF(LoanIsGood,IF(ROW()-ROW(PaymentSchedule434[[#Headers],[PMT NO]])&gt;ScheduledNumberOfPayments,"",ROW()-ROW(PaymentSchedule434[[#Headers],[PMT NO]])),"")</f>
        <v>18</v>
      </c>
      <c r="C30" s="31">
        <f>IF(PaymentSchedule434[[#This Row],[PMT NO]]&lt;&gt;"",EOMONTH(LoanStartDate,ROW(PaymentSchedule434[[#This Row],[PMT NO]])-ROW(PaymentSchedule434[[#Headers],[PMT NO]])-2)+DAY(LoanStartDate),"")</f>
        <v>44256</v>
      </c>
      <c r="D30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28683.638734669148</v>
      </c>
      <c r="E30" s="32">
        <f>IF(PaymentSchedule434[[#This Row],[PMT NO]]&lt;&gt;"",ScheduledPayment,"")</f>
        <v>478.40822177714466</v>
      </c>
      <c r="F30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30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30" s="32">
        <f>IF(PaymentSchedule434[[#This Row],[PMT NO]]&lt;&gt;"",PaymentSchedule434[[#This Row],[TOTAL PAYMENT]]-PaymentSchedule434[[#This Row],[INTEREST]],"")</f>
        <v>382.79609266158081</v>
      </c>
      <c r="I30" s="32">
        <f>IF(PaymentSchedule434[[#This Row],[PMT NO]]&lt;&gt;"",PaymentSchedule434[[#This Row],[BEGINNING BALANCE]]*(InterestRate/PaymentsPerYear),"")</f>
        <v>95.612129115563832</v>
      </c>
      <c r="J30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28300.842642007567</v>
      </c>
      <c r="K30" s="32">
        <f>IF(PaymentSchedule434[[#This Row],[PMT NO]]&lt;&gt;"",SUM(INDEX(PaymentSchedule434[INTEREST],1,1):PaymentSchedule434[[#This Row],[INTEREST]]),"")</f>
        <v>1912.1906339961729</v>
      </c>
    </row>
    <row r="31" spans="2:11" x14ac:dyDescent="0.3">
      <c r="B31" s="30">
        <f>IF(LoanIsGood,IF(ROW()-ROW(PaymentSchedule434[[#Headers],[PMT NO]])&gt;ScheduledNumberOfPayments,"",ROW()-ROW(PaymentSchedule434[[#Headers],[PMT NO]])),"")</f>
        <v>19</v>
      </c>
      <c r="C31" s="31">
        <f>IF(PaymentSchedule434[[#This Row],[PMT NO]]&lt;&gt;"",EOMONTH(LoanStartDate,ROW(PaymentSchedule434[[#This Row],[PMT NO]])-ROW(PaymentSchedule434[[#Headers],[PMT NO]])-2)+DAY(LoanStartDate),"")</f>
        <v>44287</v>
      </c>
      <c r="D31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28300.842642007567</v>
      </c>
      <c r="E31" s="32">
        <f>IF(PaymentSchedule434[[#This Row],[PMT NO]]&lt;&gt;"",ScheduledPayment,"")</f>
        <v>478.40822177714466</v>
      </c>
      <c r="F31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31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31" s="32">
        <f>IF(PaymentSchedule434[[#This Row],[PMT NO]]&lt;&gt;"",PaymentSchedule434[[#This Row],[TOTAL PAYMENT]]-PaymentSchedule434[[#This Row],[INTEREST]],"")</f>
        <v>384.07207963711943</v>
      </c>
      <c r="I31" s="32">
        <f>IF(PaymentSchedule434[[#This Row],[PMT NO]]&lt;&gt;"",PaymentSchedule434[[#This Row],[BEGINNING BALANCE]]*(InterestRate/PaymentsPerYear),"")</f>
        <v>94.336142140025231</v>
      </c>
      <c r="J31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27916.770562370446</v>
      </c>
      <c r="K31" s="32">
        <f>IF(PaymentSchedule434[[#This Row],[PMT NO]]&lt;&gt;"",SUM(INDEX(PaymentSchedule434[INTEREST],1,1):PaymentSchedule434[[#This Row],[INTEREST]]),"")</f>
        <v>2006.5267761361981</v>
      </c>
    </row>
    <row r="32" spans="2:11" x14ac:dyDescent="0.3">
      <c r="B32" s="30">
        <f>IF(LoanIsGood,IF(ROW()-ROW(PaymentSchedule434[[#Headers],[PMT NO]])&gt;ScheduledNumberOfPayments,"",ROW()-ROW(PaymentSchedule434[[#Headers],[PMT NO]])),"")</f>
        <v>20</v>
      </c>
      <c r="C32" s="31">
        <f>IF(PaymentSchedule434[[#This Row],[PMT NO]]&lt;&gt;"",EOMONTH(LoanStartDate,ROW(PaymentSchedule434[[#This Row],[PMT NO]])-ROW(PaymentSchedule434[[#Headers],[PMT NO]])-2)+DAY(LoanStartDate),"")</f>
        <v>44317</v>
      </c>
      <c r="D32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27916.770562370446</v>
      </c>
      <c r="E32" s="32">
        <f>IF(PaymentSchedule434[[#This Row],[PMT NO]]&lt;&gt;"",ScheduledPayment,"")</f>
        <v>478.40822177714466</v>
      </c>
      <c r="F32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32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32" s="32">
        <f>IF(PaymentSchedule434[[#This Row],[PMT NO]]&lt;&gt;"",PaymentSchedule434[[#This Row],[TOTAL PAYMENT]]-PaymentSchedule434[[#This Row],[INTEREST]],"")</f>
        <v>385.35231990257648</v>
      </c>
      <c r="I32" s="32">
        <f>IF(PaymentSchedule434[[#This Row],[PMT NO]]&lt;&gt;"",PaymentSchedule434[[#This Row],[BEGINNING BALANCE]]*(InterestRate/PaymentsPerYear),"")</f>
        <v>93.055901874568164</v>
      </c>
      <c r="J32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27531.418242467869</v>
      </c>
      <c r="K32" s="32">
        <f>IF(PaymentSchedule434[[#This Row],[PMT NO]]&lt;&gt;"",SUM(INDEX(PaymentSchedule434[INTEREST],1,1):PaymentSchedule434[[#This Row],[INTEREST]]),"")</f>
        <v>2099.5826780107664</v>
      </c>
    </row>
    <row r="33" spans="2:11" x14ac:dyDescent="0.3">
      <c r="B33" s="30">
        <f>IF(LoanIsGood,IF(ROW()-ROW(PaymentSchedule434[[#Headers],[PMT NO]])&gt;ScheduledNumberOfPayments,"",ROW()-ROW(PaymentSchedule434[[#Headers],[PMT NO]])),"")</f>
        <v>21</v>
      </c>
      <c r="C33" s="31">
        <f>IF(PaymentSchedule434[[#This Row],[PMT NO]]&lt;&gt;"",EOMONTH(LoanStartDate,ROW(PaymentSchedule434[[#This Row],[PMT NO]])-ROW(PaymentSchedule434[[#Headers],[PMT NO]])-2)+DAY(LoanStartDate),"")</f>
        <v>44348</v>
      </c>
      <c r="D33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27531.418242467869</v>
      </c>
      <c r="E33" s="32">
        <f>IF(PaymentSchedule434[[#This Row],[PMT NO]]&lt;&gt;"",ScheduledPayment,"")</f>
        <v>478.40822177714466</v>
      </c>
      <c r="F33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33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33" s="32">
        <f>IF(PaymentSchedule434[[#This Row],[PMT NO]]&lt;&gt;"",PaymentSchedule434[[#This Row],[TOTAL PAYMENT]]-PaymentSchedule434[[#This Row],[INTEREST]],"")</f>
        <v>386.63682763558506</v>
      </c>
      <c r="I33" s="32">
        <f>IF(PaymentSchedule434[[#This Row],[PMT NO]]&lt;&gt;"",PaymentSchedule434[[#This Row],[BEGINNING BALANCE]]*(InterestRate/PaymentsPerYear),"")</f>
        <v>91.771394141559568</v>
      </c>
      <c r="J33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27144.781414832283</v>
      </c>
      <c r="K33" s="32">
        <f>IF(PaymentSchedule434[[#This Row],[PMT NO]]&lt;&gt;"",SUM(INDEX(PaymentSchedule434[INTEREST],1,1):PaymentSchedule434[[#This Row],[INTEREST]]),"")</f>
        <v>2191.3540721523259</v>
      </c>
    </row>
    <row r="34" spans="2:11" x14ac:dyDescent="0.3">
      <c r="B34" s="30">
        <f>IF(LoanIsGood,IF(ROW()-ROW(PaymentSchedule434[[#Headers],[PMT NO]])&gt;ScheduledNumberOfPayments,"",ROW()-ROW(PaymentSchedule434[[#Headers],[PMT NO]])),"")</f>
        <v>22</v>
      </c>
      <c r="C34" s="31">
        <f>IF(PaymentSchedule434[[#This Row],[PMT NO]]&lt;&gt;"",EOMONTH(LoanStartDate,ROW(PaymentSchedule434[[#This Row],[PMT NO]])-ROW(PaymentSchedule434[[#Headers],[PMT NO]])-2)+DAY(LoanStartDate),"")</f>
        <v>44378</v>
      </c>
      <c r="D34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27144.781414832283</v>
      </c>
      <c r="E34" s="32">
        <f>IF(PaymentSchedule434[[#This Row],[PMT NO]]&lt;&gt;"",ScheduledPayment,"")</f>
        <v>478.40822177714466</v>
      </c>
      <c r="F34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34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34" s="32">
        <f>IF(PaymentSchedule434[[#This Row],[PMT NO]]&lt;&gt;"",PaymentSchedule434[[#This Row],[TOTAL PAYMENT]]-PaymentSchedule434[[#This Row],[INTEREST]],"")</f>
        <v>387.92561706103703</v>
      </c>
      <c r="I34" s="32">
        <f>IF(PaymentSchedule434[[#This Row],[PMT NO]]&lt;&gt;"",PaymentSchedule434[[#This Row],[BEGINNING BALANCE]]*(InterestRate/PaymentsPerYear),"")</f>
        <v>90.482604716107616</v>
      </c>
      <c r="J34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26756.855797771244</v>
      </c>
      <c r="K34" s="32">
        <f>IF(PaymentSchedule434[[#This Row],[PMT NO]]&lt;&gt;"",SUM(INDEX(PaymentSchedule434[INTEREST],1,1):PaymentSchedule434[[#This Row],[INTEREST]]),"")</f>
        <v>2281.8366768684336</v>
      </c>
    </row>
    <row r="35" spans="2:11" x14ac:dyDescent="0.3">
      <c r="B35" s="30">
        <f>IF(LoanIsGood,IF(ROW()-ROW(PaymentSchedule434[[#Headers],[PMT NO]])&gt;ScheduledNumberOfPayments,"",ROW()-ROW(PaymentSchedule434[[#Headers],[PMT NO]])),"")</f>
        <v>23</v>
      </c>
      <c r="C35" s="31">
        <f>IF(PaymentSchedule434[[#This Row],[PMT NO]]&lt;&gt;"",EOMONTH(LoanStartDate,ROW(PaymentSchedule434[[#This Row],[PMT NO]])-ROW(PaymentSchedule434[[#Headers],[PMT NO]])-2)+DAY(LoanStartDate),"")</f>
        <v>44409</v>
      </c>
      <c r="D35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26756.855797771244</v>
      </c>
      <c r="E35" s="32">
        <f>IF(PaymentSchedule434[[#This Row],[PMT NO]]&lt;&gt;"",ScheduledPayment,"")</f>
        <v>478.40822177714466</v>
      </c>
      <c r="F35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35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35" s="32">
        <f>IF(PaymentSchedule434[[#This Row],[PMT NO]]&lt;&gt;"",PaymentSchedule434[[#This Row],[TOTAL PAYMENT]]-PaymentSchedule434[[#This Row],[INTEREST]],"")</f>
        <v>389.21870245124052</v>
      </c>
      <c r="I35" s="32">
        <f>IF(PaymentSchedule434[[#This Row],[PMT NO]]&lt;&gt;"",PaymentSchedule434[[#This Row],[BEGINNING BALANCE]]*(InterestRate/PaymentsPerYear),"")</f>
        <v>89.189519325904158</v>
      </c>
      <c r="J35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26367.637095320002</v>
      </c>
      <c r="K35" s="32">
        <f>IF(PaymentSchedule434[[#This Row],[PMT NO]]&lt;&gt;"",SUM(INDEX(PaymentSchedule434[INTEREST],1,1):PaymentSchedule434[[#This Row],[INTEREST]]),"")</f>
        <v>2371.0261961943379</v>
      </c>
    </row>
    <row r="36" spans="2:11" x14ac:dyDescent="0.3">
      <c r="B36" s="30">
        <f>IF(LoanIsGood,IF(ROW()-ROW(PaymentSchedule434[[#Headers],[PMT NO]])&gt;ScheduledNumberOfPayments,"",ROW()-ROW(PaymentSchedule434[[#Headers],[PMT NO]])),"")</f>
        <v>24</v>
      </c>
      <c r="C36" s="31">
        <f>IF(PaymentSchedule434[[#This Row],[PMT NO]]&lt;&gt;"",EOMONTH(LoanStartDate,ROW(PaymentSchedule434[[#This Row],[PMT NO]])-ROW(PaymentSchedule434[[#Headers],[PMT NO]])-2)+DAY(LoanStartDate),"")</f>
        <v>44440</v>
      </c>
      <c r="D36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26367.637095320002</v>
      </c>
      <c r="E36" s="32">
        <f>IF(PaymentSchedule434[[#This Row],[PMT NO]]&lt;&gt;"",ScheduledPayment,"")</f>
        <v>478.40822177714466</v>
      </c>
      <c r="F36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36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36" s="32">
        <f>IF(PaymentSchedule434[[#This Row],[PMT NO]]&lt;&gt;"",PaymentSchedule434[[#This Row],[TOTAL PAYMENT]]-PaymentSchedule434[[#This Row],[INTEREST]],"")</f>
        <v>390.51609812607796</v>
      </c>
      <c r="I36" s="32">
        <f>IF(PaymentSchedule434[[#This Row],[PMT NO]]&lt;&gt;"",PaymentSchedule434[[#This Row],[BEGINNING BALANCE]]*(InterestRate/PaymentsPerYear),"")</f>
        <v>87.892123651066683</v>
      </c>
      <c r="J36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25977.120997193924</v>
      </c>
      <c r="K36" s="32">
        <f>IF(PaymentSchedule434[[#This Row],[PMT NO]]&lt;&gt;"",SUM(INDEX(PaymentSchedule434[INTEREST],1,1):PaymentSchedule434[[#This Row],[INTEREST]]),"")</f>
        <v>2458.9183198454048</v>
      </c>
    </row>
    <row r="37" spans="2:11" x14ac:dyDescent="0.3">
      <c r="B37" s="30">
        <f>IF(LoanIsGood,IF(ROW()-ROW(PaymentSchedule434[[#Headers],[PMT NO]])&gt;ScheduledNumberOfPayments,"",ROW()-ROW(PaymentSchedule434[[#Headers],[PMT NO]])),"")</f>
        <v>25</v>
      </c>
      <c r="C37" s="31">
        <f>IF(PaymentSchedule434[[#This Row],[PMT NO]]&lt;&gt;"",EOMONTH(LoanStartDate,ROW(PaymentSchedule434[[#This Row],[PMT NO]])-ROW(PaymentSchedule434[[#Headers],[PMT NO]])-2)+DAY(LoanStartDate),"")</f>
        <v>44470</v>
      </c>
      <c r="D37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25977.120997193924</v>
      </c>
      <c r="E37" s="32">
        <f>IF(PaymentSchedule434[[#This Row],[PMT NO]]&lt;&gt;"",ScheduledPayment,"")</f>
        <v>478.40822177714466</v>
      </c>
      <c r="F37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37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37" s="32">
        <f>IF(PaymentSchedule434[[#This Row],[PMT NO]]&lt;&gt;"",PaymentSchedule434[[#This Row],[TOTAL PAYMENT]]-PaymentSchedule434[[#This Row],[INTEREST]],"")</f>
        <v>391.81781845316493</v>
      </c>
      <c r="I37" s="32">
        <f>IF(PaymentSchedule434[[#This Row],[PMT NO]]&lt;&gt;"",PaymentSchedule434[[#This Row],[BEGINNING BALANCE]]*(InterestRate/PaymentsPerYear),"")</f>
        <v>86.590403323979757</v>
      </c>
      <c r="J37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25585.30317874076</v>
      </c>
      <c r="K37" s="32">
        <f>IF(PaymentSchedule434[[#This Row],[PMT NO]]&lt;&gt;"",SUM(INDEX(PaymentSchedule434[INTEREST],1,1):PaymentSchedule434[[#This Row],[INTEREST]]),"")</f>
        <v>2545.5087231693847</v>
      </c>
    </row>
    <row r="38" spans="2:11" x14ac:dyDescent="0.3">
      <c r="B38" s="30">
        <f>IF(LoanIsGood,IF(ROW()-ROW(PaymentSchedule434[[#Headers],[PMT NO]])&gt;ScheduledNumberOfPayments,"",ROW()-ROW(PaymentSchedule434[[#Headers],[PMT NO]])),"")</f>
        <v>26</v>
      </c>
      <c r="C38" s="31">
        <f>IF(PaymentSchedule434[[#This Row],[PMT NO]]&lt;&gt;"",EOMONTH(LoanStartDate,ROW(PaymentSchedule434[[#This Row],[PMT NO]])-ROW(PaymentSchedule434[[#Headers],[PMT NO]])-2)+DAY(LoanStartDate),"")</f>
        <v>44501</v>
      </c>
      <c r="D38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25585.30317874076</v>
      </c>
      <c r="E38" s="32">
        <f>IF(PaymentSchedule434[[#This Row],[PMT NO]]&lt;&gt;"",ScheduledPayment,"")</f>
        <v>478.40822177714466</v>
      </c>
      <c r="F38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38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38" s="32">
        <f>IF(PaymentSchedule434[[#This Row],[PMT NO]]&lt;&gt;"",PaymentSchedule434[[#This Row],[TOTAL PAYMENT]]-PaymentSchedule434[[#This Row],[INTEREST]],"")</f>
        <v>393.12387784800876</v>
      </c>
      <c r="I38" s="32">
        <f>IF(PaymentSchedule434[[#This Row],[PMT NO]]&lt;&gt;"",PaymentSchedule434[[#This Row],[BEGINNING BALANCE]]*(InterestRate/PaymentsPerYear),"")</f>
        <v>85.284343929135872</v>
      </c>
      <c r="J38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25192.179300892753</v>
      </c>
      <c r="K38" s="32">
        <f>IF(PaymentSchedule434[[#This Row],[PMT NO]]&lt;&gt;"",SUM(INDEX(PaymentSchedule434[INTEREST],1,1):PaymentSchedule434[[#This Row],[INTEREST]]),"")</f>
        <v>2630.7930670985206</v>
      </c>
    </row>
    <row r="39" spans="2:11" x14ac:dyDescent="0.3">
      <c r="B39" s="30">
        <f>IF(LoanIsGood,IF(ROW()-ROW(PaymentSchedule434[[#Headers],[PMT NO]])&gt;ScheduledNumberOfPayments,"",ROW()-ROW(PaymentSchedule434[[#Headers],[PMT NO]])),"")</f>
        <v>27</v>
      </c>
      <c r="C39" s="31">
        <f>IF(PaymentSchedule434[[#This Row],[PMT NO]]&lt;&gt;"",EOMONTH(LoanStartDate,ROW(PaymentSchedule434[[#This Row],[PMT NO]])-ROW(PaymentSchedule434[[#Headers],[PMT NO]])-2)+DAY(LoanStartDate),"")</f>
        <v>44531</v>
      </c>
      <c r="D39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25192.179300892753</v>
      </c>
      <c r="E39" s="32">
        <f>IF(PaymentSchedule434[[#This Row],[PMT NO]]&lt;&gt;"",ScheduledPayment,"")</f>
        <v>478.40822177714466</v>
      </c>
      <c r="F39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39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39" s="32">
        <f>IF(PaymentSchedule434[[#This Row],[PMT NO]]&lt;&gt;"",PaymentSchedule434[[#This Row],[TOTAL PAYMENT]]-PaymentSchedule434[[#This Row],[INTEREST]],"")</f>
        <v>394.4342907741688</v>
      </c>
      <c r="I39" s="32">
        <f>IF(PaymentSchedule434[[#This Row],[PMT NO]]&lt;&gt;"",PaymentSchedule434[[#This Row],[BEGINNING BALANCE]]*(InterestRate/PaymentsPerYear),"")</f>
        <v>83.973931002975846</v>
      </c>
      <c r="J39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24797.745010118582</v>
      </c>
      <c r="K39" s="32">
        <f>IF(PaymentSchedule434[[#This Row],[PMT NO]]&lt;&gt;"",SUM(INDEX(PaymentSchedule434[INTEREST],1,1):PaymentSchedule434[[#This Row],[INTEREST]]),"")</f>
        <v>2714.7669981014965</v>
      </c>
    </row>
    <row r="40" spans="2:11" x14ac:dyDescent="0.3">
      <c r="B40" s="30">
        <f>IF(LoanIsGood,IF(ROW()-ROW(PaymentSchedule434[[#Headers],[PMT NO]])&gt;ScheduledNumberOfPayments,"",ROW()-ROW(PaymentSchedule434[[#Headers],[PMT NO]])),"")</f>
        <v>28</v>
      </c>
      <c r="C40" s="31">
        <f>IF(PaymentSchedule434[[#This Row],[PMT NO]]&lt;&gt;"",EOMONTH(LoanStartDate,ROW(PaymentSchedule434[[#This Row],[PMT NO]])-ROW(PaymentSchedule434[[#Headers],[PMT NO]])-2)+DAY(LoanStartDate),"")</f>
        <v>44562</v>
      </c>
      <c r="D40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24797.745010118582</v>
      </c>
      <c r="E40" s="32">
        <f>IF(PaymentSchedule434[[#This Row],[PMT NO]]&lt;&gt;"",ScheduledPayment,"")</f>
        <v>478.40822177714466</v>
      </c>
      <c r="F40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40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40" s="32">
        <f>IF(PaymentSchedule434[[#This Row],[PMT NO]]&lt;&gt;"",PaymentSchedule434[[#This Row],[TOTAL PAYMENT]]-PaymentSchedule434[[#This Row],[INTEREST]],"")</f>
        <v>395.74907174341604</v>
      </c>
      <c r="I40" s="32">
        <f>IF(PaymentSchedule434[[#This Row],[PMT NO]]&lt;&gt;"",PaymentSchedule434[[#This Row],[BEGINNING BALANCE]]*(InterestRate/PaymentsPerYear),"")</f>
        <v>82.659150033728608</v>
      </c>
      <c r="J40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24401.995938375167</v>
      </c>
      <c r="K40" s="32">
        <f>IF(PaymentSchedule434[[#This Row],[PMT NO]]&lt;&gt;"",SUM(INDEX(PaymentSchedule434[INTEREST],1,1):PaymentSchedule434[[#This Row],[INTEREST]]),"")</f>
        <v>2797.426148135225</v>
      </c>
    </row>
    <row r="41" spans="2:11" x14ac:dyDescent="0.3">
      <c r="B41" s="30">
        <f>IF(LoanIsGood,IF(ROW()-ROW(PaymentSchedule434[[#Headers],[PMT NO]])&gt;ScheduledNumberOfPayments,"",ROW()-ROW(PaymentSchedule434[[#Headers],[PMT NO]])),"")</f>
        <v>29</v>
      </c>
      <c r="C41" s="31">
        <f>IF(PaymentSchedule434[[#This Row],[PMT NO]]&lt;&gt;"",EOMONTH(LoanStartDate,ROW(PaymentSchedule434[[#This Row],[PMT NO]])-ROW(PaymentSchedule434[[#Headers],[PMT NO]])-2)+DAY(LoanStartDate),"")</f>
        <v>44593</v>
      </c>
      <c r="D41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24401.995938375167</v>
      </c>
      <c r="E41" s="32">
        <f>IF(PaymentSchedule434[[#This Row],[PMT NO]]&lt;&gt;"",ScheduledPayment,"")</f>
        <v>478.40822177714466</v>
      </c>
      <c r="F41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41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41" s="32">
        <f>IF(PaymentSchedule434[[#This Row],[PMT NO]]&lt;&gt;"",PaymentSchedule434[[#This Row],[TOTAL PAYMENT]]-PaymentSchedule434[[#This Row],[INTEREST]],"")</f>
        <v>397.06823531589407</v>
      </c>
      <c r="I41" s="32">
        <f>IF(PaymentSchedule434[[#This Row],[PMT NO]]&lt;&gt;"",PaymentSchedule434[[#This Row],[BEGINNING BALANCE]]*(InterestRate/PaymentsPerYear),"")</f>
        <v>81.339986461250561</v>
      </c>
      <c r="J41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24004.927703059271</v>
      </c>
      <c r="K41" s="32">
        <f>IF(PaymentSchedule434[[#This Row],[PMT NO]]&lt;&gt;"",SUM(INDEX(PaymentSchedule434[INTEREST],1,1):PaymentSchedule434[[#This Row],[INTEREST]]),"")</f>
        <v>2878.7661345964757</v>
      </c>
    </row>
    <row r="42" spans="2:11" x14ac:dyDescent="0.3">
      <c r="B42" s="30">
        <f>IF(LoanIsGood,IF(ROW()-ROW(PaymentSchedule434[[#Headers],[PMT NO]])&gt;ScheduledNumberOfPayments,"",ROW()-ROW(PaymentSchedule434[[#Headers],[PMT NO]])),"")</f>
        <v>30</v>
      </c>
      <c r="C42" s="31">
        <f>IF(PaymentSchedule434[[#This Row],[PMT NO]]&lt;&gt;"",EOMONTH(LoanStartDate,ROW(PaymentSchedule434[[#This Row],[PMT NO]])-ROW(PaymentSchedule434[[#Headers],[PMT NO]])-2)+DAY(LoanStartDate),"")</f>
        <v>44621</v>
      </c>
      <c r="D42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24004.927703059271</v>
      </c>
      <c r="E42" s="32">
        <f>IF(PaymentSchedule434[[#This Row],[PMT NO]]&lt;&gt;"",ScheduledPayment,"")</f>
        <v>478.40822177714466</v>
      </c>
      <c r="F42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42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42" s="32">
        <f>IF(PaymentSchedule434[[#This Row],[PMT NO]]&lt;&gt;"",PaymentSchedule434[[#This Row],[TOTAL PAYMENT]]-PaymentSchedule434[[#This Row],[INTEREST]],"")</f>
        <v>398.39179610028043</v>
      </c>
      <c r="I42" s="32">
        <f>IF(PaymentSchedule434[[#This Row],[PMT NO]]&lt;&gt;"",PaymentSchedule434[[#This Row],[BEGINNING BALANCE]]*(InterestRate/PaymentsPerYear),"")</f>
        <v>80.016425676864245</v>
      </c>
      <c r="J42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23606.53590695899</v>
      </c>
      <c r="K42" s="32">
        <f>IF(PaymentSchedule434[[#This Row],[PMT NO]]&lt;&gt;"",SUM(INDEX(PaymentSchedule434[INTEREST],1,1):PaymentSchedule434[[#This Row],[INTEREST]]),"")</f>
        <v>2958.7825602733401</v>
      </c>
    </row>
    <row r="43" spans="2:11" x14ac:dyDescent="0.3">
      <c r="B43" s="30">
        <f>IF(LoanIsGood,IF(ROW()-ROW(PaymentSchedule434[[#Headers],[PMT NO]])&gt;ScheduledNumberOfPayments,"",ROW()-ROW(PaymentSchedule434[[#Headers],[PMT NO]])),"")</f>
        <v>31</v>
      </c>
      <c r="C43" s="31">
        <f>IF(PaymentSchedule434[[#This Row],[PMT NO]]&lt;&gt;"",EOMONTH(LoanStartDate,ROW(PaymentSchedule434[[#This Row],[PMT NO]])-ROW(PaymentSchedule434[[#Headers],[PMT NO]])-2)+DAY(LoanStartDate),"")</f>
        <v>44652</v>
      </c>
      <c r="D43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23606.53590695899</v>
      </c>
      <c r="E43" s="32">
        <f>IF(PaymentSchedule434[[#This Row],[PMT NO]]&lt;&gt;"",ScheduledPayment,"")</f>
        <v>478.40822177714466</v>
      </c>
      <c r="F43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43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43" s="32">
        <f>IF(PaymentSchedule434[[#This Row],[PMT NO]]&lt;&gt;"",PaymentSchedule434[[#This Row],[TOTAL PAYMENT]]-PaymentSchedule434[[#This Row],[INTEREST]],"")</f>
        <v>399.71976875394802</v>
      </c>
      <c r="I43" s="32">
        <f>IF(PaymentSchedule434[[#This Row],[PMT NO]]&lt;&gt;"",PaymentSchedule434[[#This Row],[BEGINNING BALANCE]]*(InterestRate/PaymentsPerYear),"")</f>
        <v>78.688453023196644</v>
      </c>
      <c r="J43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23206.816138205042</v>
      </c>
      <c r="K43" s="32">
        <f>IF(PaymentSchedule434[[#This Row],[PMT NO]]&lt;&gt;"",SUM(INDEX(PaymentSchedule434[INTEREST],1,1):PaymentSchedule434[[#This Row],[INTEREST]]),"")</f>
        <v>3037.4710132965365</v>
      </c>
    </row>
    <row r="44" spans="2:11" x14ac:dyDescent="0.3">
      <c r="B44" s="30">
        <f>IF(LoanIsGood,IF(ROW()-ROW(PaymentSchedule434[[#Headers],[PMT NO]])&gt;ScheduledNumberOfPayments,"",ROW()-ROW(PaymentSchedule434[[#Headers],[PMT NO]])),"")</f>
        <v>32</v>
      </c>
      <c r="C44" s="31">
        <f>IF(PaymentSchedule434[[#This Row],[PMT NO]]&lt;&gt;"",EOMONTH(LoanStartDate,ROW(PaymentSchedule434[[#This Row],[PMT NO]])-ROW(PaymentSchedule434[[#Headers],[PMT NO]])-2)+DAY(LoanStartDate),"")</f>
        <v>44682</v>
      </c>
      <c r="D44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23206.816138205042</v>
      </c>
      <c r="E44" s="32">
        <f>IF(PaymentSchedule434[[#This Row],[PMT NO]]&lt;&gt;"",ScheduledPayment,"")</f>
        <v>478.40822177714466</v>
      </c>
      <c r="F44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44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44" s="32">
        <f>IF(PaymentSchedule434[[#This Row],[PMT NO]]&lt;&gt;"",PaymentSchedule434[[#This Row],[TOTAL PAYMENT]]-PaymentSchedule434[[#This Row],[INTEREST]],"")</f>
        <v>401.05216798312784</v>
      </c>
      <c r="I44" s="32">
        <f>IF(PaymentSchedule434[[#This Row],[PMT NO]]&lt;&gt;"",PaymentSchedule434[[#This Row],[BEGINNING BALANCE]]*(InterestRate/PaymentsPerYear),"")</f>
        <v>77.356053794016816</v>
      </c>
      <c r="J44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22805.763970221913</v>
      </c>
      <c r="K44" s="32">
        <f>IF(PaymentSchedule434[[#This Row],[PMT NO]]&lt;&gt;"",SUM(INDEX(PaymentSchedule434[INTEREST],1,1):PaymentSchedule434[[#This Row],[INTEREST]]),"")</f>
        <v>3114.8270670905531</v>
      </c>
    </row>
    <row r="45" spans="2:11" x14ac:dyDescent="0.3">
      <c r="B45" s="30">
        <f>IF(LoanIsGood,IF(ROW()-ROW(PaymentSchedule434[[#Headers],[PMT NO]])&gt;ScheduledNumberOfPayments,"",ROW()-ROW(PaymentSchedule434[[#Headers],[PMT NO]])),"")</f>
        <v>33</v>
      </c>
      <c r="C45" s="31">
        <f>IF(PaymentSchedule434[[#This Row],[PMT NO]]&lt;&gt;"",EOMONTH(LoanStartDate,ROW(PaymentSchedule434[[#This Row],[PMT NO]])-ROW(PaymentSchedule434[[#Headers],[PMT NO]])-2)+DAY(LoanStartDate),"")</f>
        <v>44713</v>
      </c>
      <c r="D45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22805.763970221913</v>
      </c>
      <c r="E45" s="32">
        <f>IF(PaymentSchedule434[[#This Row],[PMT NO]]&lt;&gt;"",ScheduledPayment,"")</f>
        <v>478.40822177714466</v>
      </c>
      <c r="F45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45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45" s="32">
        <f>IF(PaymentSchedule434[[#This Row],[PMT NO]]&lt;&gt;"",PaymentSchedule434[[#This Row],[TOTAL PAYMENT]]-PaymentSchedule434[[#This Row],[INTEREST]],"")</f>
        <v>402.38900854307161</v>
      </c>
      <c r="I45" s="32">
        <f>IF(PaymentSchedule434[[#This Row],[PMT NO]]&lt;&gt;"",PaymentSchedule434[[#This Row],[BEGINNING BALANCE]]*(InterestRate/PaymentsPerYear),"")</f>
        <v>76.01921323407305</v>
      </c>
      <c r="J45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22403.374961678841</v>
      </c>
      <c r="K45" s="32">
        <f>IF(PaymentSchedule434[[#This Row],[PMT NO]]&lt;&gt;"",SUM(INDEX(PaymentSchedule434[INTEREST],1,1):PaymentSchedule434[[#This Row],[INTEREST]]),"")</f>
        <v>3190.8462803246262</v>
      </c>
    </row>
    <row r="46" spans="2:11" x14ac:dyDescent="0.3">
      <c r="B46" s="30">
        <f>IF(LoanIsGood,IF(ROW()-ROW(PaymentSchedule434[[#Headers],[PMT NO]])&gt;ScheduledNumberOfPayments,"",ROW()-ROW(PaymentSchedule434[[#Headers],[PMT NO]])),"")</f>
        <v>34</v>
      </c>
      <c r="C46" s="31">
        <f>IF(PaymentSchedule434[[#This Row],[PMT NO]]&lt;&gt;"",EOMONTH(LoanStartDate,ROW(PaymentSchedule434[[#This Row],[PMT NO]])-ROW(PaymentSchedule434[[#Headers],[PMT NO]])-2)+DAY(LoanStartDate),"")</f>
        <v>44743</v>
      </c>
      <c r="D46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22403.374961678841</v>
      </c>
      <c r="E46" s="32">
        <f>IF(PaymentSchedule434[[#This Row],[PMT NO]]&lt;&gt;"",ScheduledPayment,"")</f>
        <v>478.40822177714466</v>
      </c>
      <c r="F46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46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46" s="32">
        <f>IF(PaymentSchedule434[[#This Row],[PMT NO]]&lt;&gt;"",PaymentSchedule434[[#This Row],[TOTAL PAYMENT]]-PaymentSchedule434[[#This Row],[INTEREST]],"")</f>
        <v>403.73030523821518</v>
      </c>
      <c r="I46" s="32">
        <f>IF(PaymentSchedule434[[#This Row],[PMT NO]]&lt;&gt;"",PaymentSchedule434[[#This Row],[BEGINNING BALANCE]]*(InterestRate/PaymentsPerYear),"")</f>
        <v>74.67791653892948</v>
      </c>
      <c r="J46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21999.644656440625</v>
      </c>
      <c r="K46" s="32">
        <f>IF(PaymentSchedule434[[#This Row],[PMT NO]]&lt;&gt;"",SUM(INDEX(PaymentSchedule434[INTEREST],1,1):PaymentSchedule434[[#This Row],[INTEREST]]),"")</f>
        <v>3265.5241968635555</v>
      </c>
    </row>
    <row r="47" spans="2:11" x14ac:dyDescent="0.3">
      <c r="B47" s="30">
        <f>IF(LoanIsGood,IF(ROW()-ROW(PaymentSchedule434[[#Headers],[PMT NO]])&gt;ScheduledNumberOfPayments,"",ROW()-ROW(PaymentSchedule434[[#Headers],[PMT NO]])),"")</f>
        <v>35</v>
      </c>
      <c r="C47" s="31">
        <f>IF(PaymentSchedule434[[#This Row],[PMT NO]]&lt;&gt;"",EOMONTH(LoanStartDate,ROW(PaymentSchedule434[[#This Row],[PMT NO]])-ROW(PaymentSchedule434[[#Headers],[PMT NO]])-2)+DAY(LoanStartDate),"")</f>
        <v>44774</v>
      </c>
      <c r="D47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21999.644656440625</v>
      </c>
      <c r="E47" s="32">
        <f>IF(PaymentSchedule434[[#This Row],[PMT NO]]&lt;&gt;"",ScheduledPayment,"")</f>
        <v>478.40822177714466</v>
      </c>
      <c r="F47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47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47" s="32">
        <f>IF(PaymentSchedule434[[#This Row],[PMT NO]]&lt;&gt;"",PaymentSchedule434[[#This Row],[TOTAL PAYMENT]]-PaymentSchedule434[[#This Row],[INTEREST]],"")</f>
        <v>405.07607292234258</v>
      </c>
      <c r="I47" s="32">
        <f>IF(PaymentSchedule434[[#This Row],[PMT NO]]&lt;&gt;"",PaymentSchedule434[[#This Row],[BEGINNING BALANCE]]*(InterestRate/PaymentsPerYear),"")</f>
        <v>73.332148854802085</v>
      </c>
      <c r="J47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21594.568583518281</v>
      </c>
      <c r="K47" s="32">
        <f>IF(PaymentSchedule434[[#This Row],[PMT NO]]&lt;&gt;"",SUM(INDEX(PaymentSchedule434[INTEREST],1,1):PaymentSchedule434[[#This Row],[INTEREST]]),"")</f>
        <v>3338.8563457183577</v>
      </c>
    </row>
    <row r="48" spans="2:11" x14ac:dyDescent="0.3">
      <c r="B48" s="30">
        <f>IF(LoanIsGood,IF(ROW()-ROW(PaymentSchedule434[[#Headers],[PMT NO]])&gt;ScheduledNumberOfPayments,"",ROW()-ROW(PaymentSchedule434[[#Headers],[PMT NO]])),"")</f>
        <v>36</v>
      </c>
      <c r="C48" s="31">
        <f>IF(PaymentSchedule434[[#This Row],[PMT NO]]&lt;&gt;"",EOMONTH(LoanStartDate,ROW(PaymentSchedule434[[#This Row],[PMT NO]])-ROW(PaymentSchedule434[[#Headers],[PMT NO]])-2)+DAY(LoanStartDate),"")</f>
        <v>44805</v>
      </c>
      <c r="D48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21594.568583518281</v>
      </c>
      <c r="E48" s="32">
        <f>IF(PaymentSchedule434[[#This Row],[PMT NO]]&lt;&gt;"",ScheduledPayment,"")</f>
        <v>478.40822177714466</v>
      </c>
      <c r="F48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48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48" s="32">
        <f>IF(PaymentSchedule434[[#This Row],[PMT NO]]&lt;&gt;"",PaymentSchedule434[[#This Row],[TOTAL PAYMENT]]-PaymentSchedule434[[#This Row],[INTEREST]],"")</f>
        <v>406.42632649875037</v>
      </c>
      <c r="I48" s="32">
        <f>IF(PaymentSchedule434[[#This Row],[PMT NO]]&lt;&gt;"",PaymentSchedule434[[#This Row],[BEGINNING BALANCE]]*(InterestRate/PaymentsPerYear),"")</f>
        <v>71.981895278394276</v>
      </c>
      <c r="J48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21188.142257019532</v>
      </c>
      <c r="K48" s="32">
        <f>IF(PaymentSchedule434[[#This Row],[PMT NO]]&lt;&gt;"",SUM(INDEX(PaymentSchedule434[INTEREST],1,1):PaymentSchedule434[[#This Row],[INTEREST]]),"")</f>
        <v>3410.8382409967521</v>
      </c>
    </row>
    <row r="49" spans="2:11" x14ac:dyDescent="0.3">
      <c r="B49" s="30">
        <f>IF(LoanIsGood,IF(ROW()-ROW(PaymentSchedule434[[#Headers],[PMT NO]])&gt;ScheduledNumberOfPayments,"",ROW()-ROW(PaymentSchedule434[[#Headers],[PMT NO]])),"")</f>
        <v>37</v>
      </c>
      <c r="C49" s="31">
        <f>IF(PaymentSchedule434[[#This Row],[PMT NO]]&lt;&gt;"",EOMONTH(LoanStartDate,ROW(PaymentSchedule434[[#This Row],[PMT NO]])-ROW(PaymentSchedule434[[#Headers],[PMT NO]])-2)+DAY(LoanStartDate),"")</f>
        <v>44835</v>
      </c>
      <c r="D49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21188.142257019532</v>
      </c>
      <c r="E49" s="32">
        <f>IF(PaymentSchedule434[[#This Row],[PMT NO]]&lt;&gt;"",ScheduledPayment,"")</f>
        <v>478.40822177714466</v>
      </c>
      <c r="F49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49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49" s="32">
        <f>IF(PaymentSchedule434[[#This Row],[PMT NO]]&lt;&gt;"",PaymentSchedule434[[#This Row],[TOTAL PAYMENT]]-PaymentSchedule434[[#This Row],[INTEREST]],"")</f>
        <v>407.78108092041288</v>
      </c>
      <c r="I49" s="32">
        <f>IF(PaymentSchedule434[[#This Row],[PMT NO]]&lt;&gt;"",PaymentSchedule434[[#This Row],[BEGINNING BALANCE]]*(InterestRate/PaymentsPerYear),"")</f>
        <v>70.627140856731771</v>
      </c>
      <c r="J49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20780.361176099119</v>
      </c>
      <c r="K49" s="32">
        <f>IF(PaymentSchedule434[[#This Row],[PMT NO]]&lt;&gt;"",SUM(INDEX(PaymentSchedule434[INTEREST],1,1):PaymentSchedule434[[#This Row],[INTEREST]]),"")</f>
        <v>3481.4653818534839</v>
      </c>
    </row>
    <row r="50" spans="2:11" x14ac:dyDescent="0.3">
      <c r="B50" s="30">
        <f>IF(LoanIsGood,IF(ROW()-ROW(PaymentSchedule434[[#Headers],[PMT NO]])&gt;ScheduledNumberOfPayments,"",ROW()-ROW(PaymentSchedule434[[#Headers],[PMT NO]])),"")</f>
        <v>38</v>
      </c>
      <c r="C50" s="31">
        <f>IF(PaymentSchedule434[[#This Row],[PMT NO]]&lt;&gt;"",EOMONTH(LoanStartDate,ROW(PaymentSchedule434[[#This Row],[PMT NO]])-ROW(PaymentSchedule434[[#Headers],[PMT NO]])-2)+DAY(LoanStartDate),"")</f>
        <v>44866</v>
      </c>
      <c r="D50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20780.361176099119</v>
      </c>
      <c r="E50" s="32">
        <f>IF(PaymentSchedule434[[#This Row],[PMT NO]]&lt;&gt;"",ScheduledPayment,"")</f>
        <v>478.40822177714466</v>
      </c>
      <c r="F50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50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50" s="32">
        <f>IF(PaymentSchedule434[[#This Row],[PMT NO]]&lt;&gt;"",PaymentSchedule434[[#This Row],[TOTAL PAYMENT]]-PaymentSchedule434[[#This Row],[INTEREST]],"")</f>
        <v>409.14035119014761</v>
      </c>
      <c r="I50" s="32">
        <f>IF(PaymentSchedule434[[#This Row],[PMT NO]]&lt;&gt;"",PaymentSchedule434[[#This Row],[BEGINNING BALANCE]]*(InterestRate/PaymentsPerYear),"")</f>
        <v>69.267870586997063</v>
      </c>
      <c r="J50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20371.220824908971</v>
      </c>
      <c r="K50" s="32">
        <f>IF(PaymentSchedule434[[#This Row],[PMT NO]]&lt;&gt;"",SUM(INDEX(PaymentSchedule434[INTEREST],1,1):PaymentSchedule434[[#This Row],[INTEREST]]),"")</f>
        <v>3550.733252440481</v>
      </c>
    </row>
    <row r="51" spans="2:11" x14ac:dyDescent="0.3">
      <c r="B51" s="30">
        <f>IF(LoanIsGood,IF(ROW()-ROW(PaymentSchedule434[[#Headers],[PMT NO]])&gt;ScheduledNumberOfPayments,"",ROW()-ROW(PaymentSchedule434[[#Headers],[PMT NO]])),"")</f>
        <v>39</v>
      </c>
      <c r="C51" s="31">
        <f>IF(PaymentSchedule434[[#This Row],[PMT NO]]&lt;&gt;"",EOMONTH(LoanStartDate,ROW(PaymentSchedule434[[#This Row],[PMT NO]])-ROW(PaymentSchedule434[[#Headers],[PMT NO]])-2)+DAY(LoanStartDate),"")</f>
        <v>44896</v>
      </c>
      <c r="D51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20371.220824908971</v>
      </c>
      <c r="E51" s="32">
        <f>IF(PaymentSchedule434[[#This Row],[PMT NO]]&lt;&gt;"",ScheduledPayment,"")</f>
        <v>478.40822177714466</v>
      </c>
      <c r="F51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51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51" s="32">
        <f>IF(PaymentSchedule434[[#This Row],[PMT NO]]&lt;&gt;"",PaymentSchedule434[[#This Row],[TOTAL PAYMENT]]-PaymentSchedule434[[#This Row],[INTEREST]],"")</f>
        <v>410.5041523607814</v>
      </c>
      <c r="I51" s="32">
        <f>IF(PaymentSchedule434[[#This Row],[PMT NO]]&lt;&gt;"",PaymentSchedule434[[#This Row],[BEGINNING BALANCE]]*(InterestRate/PaymentsPerYear),"")</f>
        <v>67.904069416363242</v>
      </c>
      <c r="J51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19960.716672548191</v>
      </c>
      <c r="K51" s="32">
        <f>IF(PaymentSchedule434[[#This Row],[PMT NO]]&lt;&gt;"",SUM(INDEX(PaymentSchedule434[INTEREST],1,1):PaymentSchedule434[[#This Row],[INTEREST]]),"")</f>
        <v>3618.6373218568442</v>
      </c>
    </row>
    <row r="52" spans="2:11" x14ac:dyDescent="0.3">
      <c r="B52" s="30">
        <f>IF(LoanIsGood,IF(ROW()-ROW(PaymentSchedule434[[#Headers],[PMT NO]])&gt;ScheduledNumberOfPayments,"",ROW()-ROW(PaymentSchedule434[[#Headers],[PMT NO]])),"")</f>
        <v>40</v>
      </c>
      <c r="C52" s="31">
        <f>IF(PaymentSchedule434[[#This Row],[PMT NO]]&lt;&gt;"",EOMONTH(LoanStartDate,ROW(PaymentSchedule434[[#This Row],[PMT NO]])-ROW(PaymentSchedule434[[#Headers],[PMT NO]])-2)+DAY(LoanStartDate),"")</f>
        <v>44927</v>
      </c>
      <c r="D52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19960.716672548191</v>
      </c>
      <c r="E52" s="32">
        <f>IF(PaymentSchedule434[[#This Row],[PMT NO]]&lt;&gt;"",ScheduledPayment,"")</f>
        <v>478.40822177714466</v>
      </c>
      <c r="F52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52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52" s="32">
        <f>IF(PaymentSchedule434[[#This Row],[PMT NO]]&lt;&gt;"",PaymentSchedule434[[#This Row],[TOTAL PAYMENT]]-PaymentSchedule434[[#This Row],[INTEREST]],"")</f>
        <v>411.87249953531739</v>
      </c>
      <c r="I52" s="32">
        <f>IF(PaymentSchedule434[[#This Row],[PMT NO]]&lt;&gt;"",PaymentSchedule434[[#This Row],[BEGINNING BALANCE]]*(InterestRate/PaymentsPerYear),"")</f>
        <v>66.535722241827301</v>
      </c>
      <c r="J52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19548.844173012872</v>
      </c>
      <c r="K52" s="32">
        <f>IF(PaymentSchedule434[[#This Row],[PMT NO]]&lt;&gt;"",SUM(INDEX(PaymentSchedule434[INTEREST],1,1):PaymentSchedule434[[#This Row],[INTEREST]]),"")</f>
        <v>3685.1730440986717</v>
      </c>
    </row>
    <row r="53" spans="2:11" x14ac:dyDescent="0.3">
      <c r="B53" s="30">
        <f>IF(LoanIsGood,IF(ROW()-ROW(PaymentSchedule434[[#Headers],[PMT NO]])&gt;ScheduledNumberOfPayments,"",ROW()-ROW(PaymentSchedule434[[#Headers],[PMT NO]])),"")</f>
        <v>41</v>
      </c>
      <c r="C53" s="31">
        <f>IF(PaymentSchedule434[[#This Row],[PMT NO]]&lt;&gt;"",EOMONTH(LoanStartDate,ROW(PaymentSchedule434[[#This Row],[PMT NO]])-ROW(PaymentSchedule434[[#Headers],[PMT NO]])-2)+DAY(LoanStartDate),"")</f>
        <v>44958</v>
      </c>
      <c r="D53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19548.844173012872</v>
      </c>
      <c r="E53" s="32">
        <f>IF(PaymentSchedule434[[#This Row],[PMT NO]]&lt;&gt;"",ScheduledPayment,"")</f>
        <v>478.40822177714466</v>
      </c>
      <c r="F53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53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53" s="32">
        <f>IF(PaymentSchedule434[[#This Row],[PMT NO]]&lt;&gt;"",PaymentSchedule434[[#This Row],[TOTAL PAYMENT]]-PaymentSchedule434[[#This Row],[INTEREST]],"")</f>
        <v>413.24540786710173</v>
      </c>
      <c r="I53" s="32">
        <f>IF(PaymentSchedule434[[#This Row],[PMT NO]]&lt;&gt;"",PaymentSchedule434[[#This Row],[BEGINNING BALANCE]]*(InterestRate/PaymentsPerYear),"")</f>
        <v>65.162813910042914</v>
      </c>
      <c r="J53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19135.598765145769</v>
      </c>
      <c r="K53" s="32">
        <f>IF(PaymentSchedule434[[#This Row],[PMT NO]]&lt;&gt;"",SUM(INDEX(PaymentSchedule434[INTEREST],1,1):PaymentSchedule434[[#This Row],[INTEREST]]),"")</f>
        <v>3750.3358580087147</v>
      </c>
    </row>
    <row r="54" spans="2:11" x14ac:dyDescent="0.3">
      <c r="B54" s="30">
        <f>IF(LoanIsGood,IF(ROW()-ROW(PaymentSchedule434[[#Headers],[PMT NO]])&gt;ScheduledNumberOfPayments,"",ROW()-ROW(PaymentSchedule434[[#Headers],[PMT NO]])),"")</f>
        <v>42</v>
      </c>
      <c r="C54" s="31">
        <f>IF(PaymentSchedule434[[#This Row],[PMT NO]]&lt;&gt;"",EOMONTH(LoanStartDate,ROW(PaymentSchedule434[[#This Row],[PMT NO]])-ROW(PaymentSchedule434[[#Headers],[PMT NO]])-2)+DAY(LoanStartDate),"")</f>
        <v>44986</v>
      </c>
      <c r="D54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19135.598765145769</v>
      </c>
      <c r="E54" s="32">
        <f>IF(PaymentSchedule434[[#This Row],[PMT NO]]&lt;&gt;"",ScheduledPayment,"")</f>
        <v>478.40822177714466</v>
      </c>
      <c r="F54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54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54" s="32">
        <f>IF(PaymentSchedule434[[#This Row],[PMT NO]]&lt;&gt;"",PaymentSchedule434[[#This Row],[TOTAL PAYMENT]]-PaymentSchedule434[[#This Row],[INTEREST]],"")</f>
        <v>414.62289255999212</v>
      </c>
      <c r="I54" s="32">
        <f>IF(PaymentSchedule434[[#This Row],[PMT NO]]&lt;&gt;"",PaymentSchedule434[[#This Row],[BEGINNING BALANCE]]*(InterestRate/PaymentsPerYear),"")</f>
        <v>63.785329217152565</v>
      </c>
      <c r="J54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18720.975872585776</v>
      </c>
      <c r="K54" s="32">
        <f>IF(PaymentSchedule434[[#This Row],[PMT NO]]&lt;&gt;"",SUM(INDEX(PaymentSchedule434[INTEREST],1,1):PaymentSchedule434[[#This Row],[INTEREST]]),"")</f>
        <v>3814.1211872258673</v>
      </c>
    </row>
    <row r="55" spans="2:11" x14ac:dyDescent="0.3">
      <c r="B55" s="30">
        <f>IF(LoanIsGood,IF(ROW()-ROW(PaymentSchedule434[[#Headers],[PMT NO]])&gt;ScheduledNumberOfPayments,"",ROW()-ROW(PaymentSchedule434[[#Headers],[PMT NO]])),"")</f>
        <v>43</v>
      </c>
      <c r="C55" s="31">
        <f>IF(PaymentSchedule434[[#This Row],[PMT NO]]&lt;&gt;"",EOMONTH(LoanStartDate,ROW(PaymentSchedule434[[#This Row],[PMT NO]])-ROW(PaymentSchedule434[[#Headers],[PMT NO]])-2)+DAY(LoanStartDate),"")</f>
        <v>45017</v>
      </c>
      <c r="D55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18720.975872585776</v>
      </c>
      <c r="E55" s="32">
        <f>IF(PaymentSchedule434[[#This Row],[PMT NO]]&lt;&gt;"",ScheduledPayment,"")</f>
        <v>478.40822177714466</v>
      </c>
      <c r="F55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55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55" s="32">
        <f>IF(PaymentSchedule434[[#This Row],[PMT NO]]&lt;&gt;"",PaymentSchedule434[[#This Row],[TOTAL PAYMENT]]-PaymentSchedule434[[#This Row],[INTEREST]],"")</f>
        <v>416.0049688685254</v>
      </c>
      <c r="I55" s="32">
        <f>IF(PaymentSchedule434[[#This Row],[PMT NO]]&lt;&gt;"",PaymentSchedule434[[#This Row],[BEGINNING BALANCE]]*(InterestRate/PaymentsPerYear),"")</f>
        <v>62.403252908619258</v>
      </c>
      <c r="J55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18304.970903717251</v>
      </c>
      <c r="K55" s="32">
        <f>IF(PaymentSchedule434[[#This Row],[PMT NO]]&lt;&gt;"",SUM(INDEX(PaymentSchedule434[INTEREST],1,1):PaymentSchedule434[[#This Row],[INTEREST]]),"")</f>
        <v>3876.5244401344867</v>
      </c>
    </row>
    <row r="56" spans="2:11" x14ac:dyDescent="0.3">
      <c r="B56" s="30">
        <f>IF(LoanIsGood,IF(ROW()-ROW(PaymentSchedule434[[#Headers],[PMT NO]])&gt;ScheduledNumberOfPayments,"",ROW()-ROW(PaymentSchedule434[[#Headers],[PMT NO]])),"")</f>
        <v>44</v>
      </c>
      <c r="C56" s="31">
        <f>IF(PaymentSchedule434[[#This Row],[PMT NO]]&lt;&gt;"",EOMONTH(LoanStartDate,ROW(PaymentSchedule434[[#This Row],[PMT NO]])-ROW(PaymentSchedule434[[#Headers],[PMT NO]])-2)+DAY(LoanStartDate),"")</f>
        <v>45047</v>
      </c>
      <c r="D56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18304.970903717251</v>
      </c>
      <c r="E56" s="32">
        <f>IF(PaymentSchedule434[[#This Row],[PMT NO]]&lt;&gt;"",ScheduledPayment,"")</f>
        <v>478.40822177714466</v>
      </c>
      <c r="F56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56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56" s="32">
        <f>IF(PaymentSchedule434[[#This Row],[PMT NO]]&lt;&gt;"",PaymentSchedule434[[#This Row],[TOTAL PAYMENT]]-PaymentSchedule434[[#This Row],[INTEREST]],"")</f>
        <v>417.39165209808715</v>
      </c>
      <c r="I56" s="32">
        <f>IF(PaymentSchedule434[[#This Row],[PMT NO]]&lt;&gt;"",PaymentSchedule434[[#This Row],[BEGINNING BALANCE]]*(InterestRate/PaymentsPerYear),"")</f>
        <v>61.016569679057504</v>
      </c>
      <c r="J56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17887.579251619165</v>
      </c>
      <c r="K56" s="32">
        <f>IF(PaymentSchedule434[[#This Row],[PMT NO]]&lt;&gt;"",SUM(INDEX(PaymentSchedule434[INTEREST],1,1):PaymentSchedule434[[#This Row],[INTEREST]]),"")</f>
        <v>3937.541009813544</v>
      </c>
    </row>
    <row r="57" spans="2:11" x14ac:dyDescent="0.3">
      <c r="B57" s="30">
        <f>IF(LoanIsGood,IF(ROW()-ROW(PaymentSchedule434[[#Headers],[PMT NO]])&gt;ScheduledNumberOfPayments,"",ROW()-ROW(PaymentSchedule434[[#Headers],[PMT NO]])),"")</f>
        <v>45</v>
      </c>
      <c r="C57" s="31">
        <f>IF(PaymentSchedule434[[#This Row],[PMT NO]]&lt;&gt;"",EOMONTH(LoanStartDate,ROW(PaymentSchedule434[[#This Row],[PMT NO]])-ROW(PaymentSchedule434[[#Headers],[PMT NO]])-2)+DAY(LoanStartDate),"")</f>
        <v>45078</v>
      </c>
      <c r="D57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17887.579251619165</v>
      </c>
      <c r="E57" s="32">
        <f>IF(PaymentSchedule434[[#This Row],[PMT NO]]&lt;&gt;"",ScheduledPayment,"")</f>
        <v>478.40822177714466</v>
      </c>
      <c r="F57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57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57" s="32">
        <f>IF(PaymentSchedule434[[#This Row],[PMT NO]]&lt;&gt;"",PaymentSchedule434[[#This Row],[TOTAL PAYMENT]]-PaymentSchedule434[[#This Row],[INTEREST]],"")</f>
        <v>418.78295760508075</v>
      </c>
      <c r="I57" s="32">
        <f>IF(PaymentSchedule434[[#This Row],[PMT NO]]&lt;&gt;"",PaymentSchedule434[[#This Row],[BEGINNING BALANCE]]*(InterestRate/PaymentsPerYear),"")</f>
        <v>59.625264172063886</v>
      </c>
      <c r="J57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17468.796294014086</v>
      </c>
      <c r="K57" s="32">
        <f>IF(PaymentSchedule434[[#This Row],[PMT NO]]&lt;&gt;"",SUM(INDEX(PaymentSchedule434[INTEREST],1,1):PaymentSchedule434[[#This Row],[INTEREST]]),"")</f>
        <v>3997.1662739856079</v>
      </c>
    </row>
    <row r="58" spans="2:11" x14ac:dyDescent="0.3">
      <c r="B58" s="30">
        <f>IF(LoanIsGood,IF(ROW()-ROW(PaymentSchedule434[[#Headers],[PMT NO]])&gt;ScheduledNumberOfPayments,"",ROW()-ROW(PaymentSchedule434[[#Headers],[PMT NO]])),"")</f>
        <v>46</v>
      </c>
      <c r="C58" s="31">
        <f>IF(PaymentSchedule434[[#This Row],[PMT NO]]&lt;&gt;"",EOMONTH(LoanStartDate,ROW(PaymentSchedule434[[#This Row],[PMT NO]])-ROW(PaymentSchedule434[[#Headers],[PMT NO]])-2)+DAY(LoanStartDate),"")</f>
        <v>45108</v>
      </c>
      <c r="D58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17468.796294014086</v>
      </c>
      <c r="E58" s="32">
        <f>IF(PaymentSchedule434[[#This Row],[PMT NO]]&lt;&gt;"",ScheduledPayment,"")</f>
        <v>478.40822177714466</v>
      </c>
      <c r="F58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58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58" s="32">
        <f>IF(PaymentSchedule434[[#This Row],[PMT NO]]&lt;&gt;"",PaymentSchedule434[[#This Row],[TOTAL PAYMENT]]-PaymentSchedule434[[#This Row],[INTEREST]],"")</f>
        <v>420.1789007970977</v>
      </c>
      <c r="I58" s="32">
        <f>IF(PaymentSchedule434[[#This Row],[PMT NO]]&lt;&gt;"",PaymentSchedule434[[#This Row],[BEGINNING BALANCE]]*(InterestRate/PaymentsPerYear),"")</f>
        <v>58.229320980046957</v>
      </c>
      <c r="J58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17048.617393216988</v>
      </c>
      <c r="K58" s="32">
        <f>IF(PaymentSchedule434[[#This Row],[PMT NO]]&lt;&gt;"",SUM(INDEX(PaymentSchedule434[INTEREST],1,1):PaymentSchedule434[[#This Row],[INTEREST]]),"")</f>
        <v>4055.3955949656547</v>
      </c>
    </row>
    <row r="59" spans="2:11" x14ac:dyDescent="0.3">
      <c r="B59" s="30">
        <f>IF(LoanIsGood,IF(ROW()-ROW(PaymentSchedule434[[#Headers],[PMT NO]])&gt;ScheduledNumberOfPayments,"",ROW()-ROW(PaymentSchedule434[[#Headers],[PMT NO]])),"")</f>
        <v>47</v>
      </c>
      <c r="C59" s="31">
        <f>IF(PaymentSchedule434[[#This Row],[PMT NO]]&lt;&gt;"",EOMONTH(LoanStartDate,ROW(PaymentSchedule434[[#This Row],[PMT NO]])-ROW(PaymentSchedule434[[#Headers],[PMT NO]])-2)+DAY(LoanStartDate),"")</f>
        <v>45139</v>
      </c>
      <c r="D59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17048.617393216988</v>
      </c>
      <c r="E59" s="32">
        <f>IF(PaymentSchedule434[[#This Row],[PMT NO]]&lt;&gt;"",ScheduledPayment,"")</f>
        <v>478.40822177714466</v>
      </c>
      <c r="F59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59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59" s="32">
        <f>IF(PaymentSchedule434[[#This Row],[PMT NO]]&lt;&gt;"",PaymentSchedule434[[#This Row],[TOTAL PAYMENT]]-PaymentSchedule434[[#This Row],[INTEREST]],"")</f>
        <v>421.57949713308801</v>
      </c>
      <c r="I59" s="32">
        <f>IF(PaymentSchedule434[[#This Row],[PMT NO]]&lt;&gt;"",PaymentSchedule434[[#This Row],[BEGINNING BALANCE]]*(InterestRate/PaymentsPerYear),"")</f>
        <v>56.828724644056628</v>
      </c>
      <c r="J59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16627.037896083901</v>
      </c>
      <c r="K59" s="32">
        <f>IF(PaymentSchedule434[[#This Row],[PMT NO]]&lt;&gt;"",SUM(INDEX(PaymentSchedule434[INTEREST],1,1):PaymentSchedule434[[#This Row],[INTEREST]]),"")</f>
        <v>4112.2243196097115</v>
      </c>
    </row>
    <row r="60" spans="2:11" x14ac:dyDescent="0.3">
      <c r="B60" s="30">
        <f>IF(LoanIsGood,IF(ROW()-ROW(PaymentSchedule434[[#Headers],[PMT NO]])&gt;ScheduledNumberOfPayments,"",ROW()-ROW(PaymentSchedule434[[#Headers],[PMT NO]])),"")</f>
        <v>48</v>
      </c>
      <c r="C60" s="31">
        <f>IF(PaymentSchedule434[[#This Row],[PMT NO]]&lt;&gt;"",EOMONTH(LoanStartDate,ROW(PaymentSchedule434[[#This Row],[PMT NO]])-ROW(PaymentSchedule434[[#Headers],[PMT NO]])-2)+DAY(LoanStartDate),"")</f>
        <v>45170</v>
      </c>
      <c r="D60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16627.037896083901</v>
      </c>
      <c r="E60" s="32">
        <f>IF(PaymentSchedule434[[#This Row],[PMT NO]]&lt;&gt;"",ScheduledPayment,"")</f>
        <v>478.40822177714466</v>
      </c>
      <c r="F60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60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60" s="32">
        <f>IF(PaymentSchedule434[[#This Row],[PMT NO]]&lt;&gt;"",PaymentSchedule434[[#This Row],[TOTAL PAYMENT]]-PaymentSchedule434[[#This Row],[INTEREST]],"")</f>
        <v>422.98476212353165</v>
      </c>
      <c r="I60" s="32">
        <f>IF(PaymentSchedule434[[#This Row],[PMT NO]]&lt;&gt;"",PaymentSchedule434[[#This Row],[BEGINNING BALANCE]]*(InterestRate/PaymentsPerYear),"")</f>
        <v>55.423459653613008</v>
      </c>
      <c r="J60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16204.053133960369</v>
      </c>
      <c r="K60" s="32">
        <f>IF(PaymentSchedule434[[#This Row],[PMT NO]]&lt;&gt;"",SUM(INDEX(PaymentSchedule434[INTEREST],1,1):PaymentSchedule434[[#This Row],[INTEREST]]),"")</f>
        <v>4167.647779263325</v>
      </c>
    </row>
    <row r="61" spans="2:11" x14ac:dyDescent="0.3">
      <c r="B61" s="30">
        <f>IF(LoanIsGood,IF(ROW()-ROW(PaymentSchedule434[[#Headers],[PMT NO]])&gt;ScheduledNumberOfPayments,"",ROW()-ROW(PaymentSchedule434[[#Headers],[PMT NO]])),"")</f>
        <v>49</v>
      </c>
      <c r="C61" s="31">
        <f>IF(PaymentSchedule434[[#This Row],[PMT NO]]&lt;&gt;"",EOMONTH(LoanStartDate,ROW(PaymentSchedule434[[#This Row],[PMT NO]])-ROW(PaymentSchedule434[[#Headers],[PMT NO]])-2)+DAY(LoanStartDate),"")</f>
        <v>45200</v>
      </c>
      <c r="D61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16204.053133960369</v>
      </c>
      <c r="E61" s="32">
        <f>IF(PaymentSchedule434[[#This Row],[PMT NO]]&lt;&gt;"",ScheduledPayment,"")</f>
        <v>478.40822177714466</v>
      </c>
      <c r="F61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61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61" s="32">
        <f>IF(PaymentSchedule434[[#This Row],[PMT NO]]&lt;&gt;"",PaymentSchedule434[[#This Row],[TOTAL PAYMENT]]-PaymentSchedule434[[#This Row],[INTEREST]],"")</f>
        <v>424.39471133061011</v>
      </c>
      <c r="I61" s="32">
        <f>IF(PaymentSchedule434[[#This Row],[PMT NO]]&lt;&gt;"",PaymentSchedule434[[#This Row],[BEGINNING BALANCE]]*(InterestRate/PaymentsPerYear),"")</f>
        <v>54.013510446534568</v>
      </c>
      <c r="J61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15779.65842262976</v>
      </c>
      <c r="K61" s="32">
        <f>IF(PaymentSchedule434[[#This Row],[PMT NO]]&lt;&gt;"",SUM(INDEX(PaymentSchedule434[INTEREST],1,1):PaymentSchedule434[[#This Row],[INTEREST]]),"")</f>
        <v>4221.6612897098594</v>
      </c>
    </row>
    <row r="62" spans="2:11" x14ac:dyDescent="0.3">
      <c r="B62" s="30">
        <f>IF(LoanIsGood,IF(ROW()-ROW(PaymentSchedule434[[#Headers],[PMT NO]])&gt;ScheduledNumberOfPayments,"",ROW()-ROW(PaymentSchedule434[[#Headers],[PMT NO]])),"")</f>
        <v>50</v>
      </c>
      <c r="C62" s="31">
        <f>IF(PaymentSchedule434[[#This Row],[PMT NO]]&lt;&gt;"",EOMONTH(LoanStartDate,ROW(PaymentSchedule434[[#This Row],[PMT NO]])-ROW(PaymentSchedule434[[#Headers],[PMT NO]])-2)+DAY(LoanStartDate),"")</f>
        <v>45231</v>
      </c>
      <c r="D62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15779.65842262976</v>
      </c>
      <c r="E62" s="32">
        <f>IF(PaymentSchedule434[[#This Row],[PMT NO]]&lt;&gt;"",ScheduledPayment,"")</f>
        <v>478.40822177714466</v>
      </c>
      <c r="F62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62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62" s="32">
        <f>IF(PaymentSchedule434[[#This Row],[PMT NO]]&lt;&gt;"",PaymentSchedule434[[#This Row],[TOTAL PAYMENT]]-PaymentSchedule434[[#This Row],[INTEREST]],"")</f>
        <v>425.8093603683788</v>
      </c>
      <c r="I62" s="32">
        <f>IF(PaymentSchedule434[[#This Row],[PMT NO]]&lt;&gt;"",PaymentSchedule434[[#This Row],[BEGINNING BALANCE]]*(InterestRate/PaymentsPerYear),"")</f>
        <v>52.59886140876587</v>
      </c>
      <c r="J62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15353.849062261381</v>
      </c>
      <c r="K62" s="32">
        <f>IF(PaymentSchedule434[[#This Row],[PMT NO]]&lt;&gt;"",SUM(INDEX(PaymentSchedule434[INTEREST],1,1):PaymentSchedule434[[#This Row],[INTEREST]]),"")</f>
        <v>4274.2601511186249</v>
      </c>
    </row>
    <row r="63" spans="2:11" x14ac:dyDescent="0.3">
      <c r="B63" s="30">
        <f>IF(LoanIsGood,IF(ROW()-ROW(PaymentSchedule434[[#Headers],[PMT NO]])&gt;ScheduledNumberOfPayments,"",ROW()-ROW(PaymentSchedule434[[#Headers],[PMT NO]])),"")</f>
        <v>51</v>
      </c>
      <c r="C63" s="31">
        <f>IF(PaymentSchedule434[[#This Row],[PMT NO]]&lt;&gt;"",EOMONTH(LoanStartDate,ROW(PaymentSchedule434[[#This Row],[PMT NO]])-ROW(PaymentSchedule434[[#Headers],[PMT NO]])-2)+DAY(LoanStartDate),"")</f>
        <v>45261</v>
      </c>
      <c r="D63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15353.849062261381</v>
      </c>
      <c r="E63" s="32">
        <f>IF(PaymentSchedule434[[#This Row],[PMT NO]]&lt;&gt;"",ScheduledPayment,"")</f>
        <v>478.40822177714466</v>
      </c>
      <c r="F63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63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63" s="32">
        <f>IF(PaymentSchedule434[[#This Row],[PMT NO]]&lt;&gt;"",PaymentSchedule434[[#This Row],[TOTAL PAYMENT]]-PaymentSchedule434[[#This Row],[INTEREST]],"")</f>
        <v>427.22872490294003</v>
      </c>
      <c r="I63" s="32">
        <f>IF(PaymentSchedule434[[#This Row],[PMT NO]]&lt;&gt;"",PaymentSchedule434[[#This Row],[BEGINNING BALANCE]]*(InterestRate/PaymentsPerYear),"")</f>
        <v>51.179496874204609</v>
      </c>
      <c r="J63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14926.620337358441</v>
      </c>
      <c r="K63" s="32">
        <f>IF(PaymentSchedule434[[#This Row],[PMT NO]]&lt;&gt;"",SUM(INDEX(PaymentSchedule434[INTEREST],1,1):PaymentSchedule434[[#This Row],[INTEREST]]),"")</f>
        <v>4325.4396479928291</v>
      </c>
    </row>
    <row r="64" spans="2:11" x14ac:dyDescent="0.3">
      <c r="B64" s="30">
        <f>IF(LoanIsGood,IF(ROW()-ROW(PaymentSchedule434[[#Headers],[PMT NO]])&gt;ScheduledNumberOfPayments,"",ROW()-ROW(PaymentSchedule434[[#Headers],[PMT NO]])),"")</f>
        <v>52</v>
      </c>
      <c r="C64" s="31">
        <f>IF(PaymentSchedule434[[#This Row],[PMT NO]]&lt;&gt;"",EOMONTH(LoanStartDate,ROW(PaymentSchedule434[[#This Row],[PMT NO]])-ROW(PaymentSchedule434[[#Headers],[PMT NO]])-2)+DAY(LoanStartDate),"")</f>
        <v>45292</v>
      </c>
      <c r="D64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14926.620337358441</v>
      </c>
      <c r="E64" s="32">
        <f>IF(PaymentSchedule434[[#This Row],[PMT NO]]&lt;&gt;"",ScheduledPayment,"")</f>
        <v>478.40822177714466</v>
      </c>
      <c r="F64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64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64" s="32">
        <f>IF(PaymentSchedule434[[#This Row],[PMT NO]]&lt;&gt;"",PaymentSchedule434[[#This Row],[TOTAL PAYMENT]]-PaymentSchedule434[[#This Row],[INTEREST]],"")</f>
        <v>428.65282065261653</v>
      </c>
      <c r="I64" s="32">
        <f>IF(PaymentSchedule434[[#This Row],[PMT NO]]&lt;&gt;"",PaymentSchedule434[[#This Row],[BEGINNING BALANCE]]*(InterestRate/PaymentsPerYear),"")</f>
        <v>49.755401124528142</v>
      </c>
      <c r="J64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14497.967516705825</v>
      </c>
      <c r="K64" s="32">
        <f>IF(PaymentSchedule434[[#This Row],[PMT NO]]&lt;&gt;"",SUM(INDEX(PaymentSchedule434[INTEREST],1,1):PaymentSchedule434[[#This Row],[INTEREST]]),"")</f>
        <v>4375.1950491173575</v>
      </c>
    </row>
    <row r="65" spans="2:11" x14ac:dyDescent="0.3">
      <c r="B65" s="30">
        <f>IF(LoanIsGood,IF(ROW()-ROW(PaymentSchedule434[[#Headers],[PMT NO]])&gt;ScheduledNumberOfPayments,"",ROW()-ROW(PaymentSchedule434[[#Headers],[PMT NO]])),"")</f>
        <v>53</v>
      </c>
      <c r="C65" s="31">
        <f>IF(PaymentSchedule434[[#This Row],[PMT NO]]&lt;&gt;"",EOMONTH(LoanStartDate,ROW(PaymentSchedule434[[#This Row],[PMT NO]])-ROW(PaymentSchedule434[[#Headers],[PMT NO]])-2)+DAY(LoanStartDate),"")</f>
        <v>45323</v>
      </c>
      <c r="D65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14497.967516705825</v>
      </c>
      <c r="E65" s="32">
        <f>IF(PaymentSchedule434[[#This Row],[PMT NO]]&lt;&gt;"",ScheduledPayment,"")</f>
        <v>478.40822177714466</v>
      </c>
      <c r="F65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65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65" s="32">
        <f>IF(PaymentSchedule434[[#This Row],[PMT NO]]&lt;&gt;"",PaymentSchedule434[[#This Row],[TOTAL PAYMENT]]-PaymentSchedule434[[#This Row],[INTEREST]],"")</f>
        <v>430.08166338812526</v>
      </c>
      <c r="I65" s="32">
        <f>IF(PaymentSchedule434[[#This Row],[PMT NO]]&lt;&gt;"",PaymentSchedule434[[#This Row],[BEGINNING BALANCE]]*(InterestRate/PaymentsPerYear),"")</f>
        <v>48.326558389019418</v>
      </c>
      <c r="J65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14067.885853317699</v>
      </c>
      <c r="K65" s="32">
        <f>IF(PaymentSchedule434[[#This Row],[PMT NO]]&lt;&gt;"",SUM(INDEX(PaymentSchedule434[INTEREST],1,1):PaymentSchedule434[[#This Row],[INTEREST]]),"")</f>
        <v>4423.5216075063772</v>
      </c>
    </row>
    <row r="66" spans="2:11" x14ac:dyDescent="0.3">
      <c r="B66" s="30">
        <f>IF(LoanIsGood,IF(ROW()-ROW(PaymentSchedule434[[#Headers],[PMT NO]])&gt;ScheduledNumberOfPayments,"",ROW()-ROW(PaymentSchedule434[[#Headers],[PMT NO]])),"")</f>
        <v>54</v>
      </c>
      <c r="C66" s="31">
        <f>IF(PaymentSchedule434[[#This Row],[PMT NO]]&lt;&gt;"",EOMONTH(LoanStartDate,ROW(PaymentSchedule434[[#This Row],[PMT NO]])-ROW(PaymentSchedule434[[#Headers],[PMT NO]])-2)+DAY(LoanStartDate),"")</f>
        <v>45352</v>
      </c>
      <c r="D66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14067.885853317699</v>
      </c>
      <c r="E66" s="32">
        <f>IF(PaymentSchedule434[[#This Row],[PMT NO]]&lt;&gt;"",ScheduledPayment,"")</f>
        <v>478.40822177714466</v>
      </c>
      <c r="F66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66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66" s="32">
        <f>IF(PaymentSchedule434[[#This Row],[PMT NO]]&lt;&gt;"",PaymentSchedule434[[#This Row],[TOTAL PAYMENT]]-PaymentSchedule434[[#This Row],[INTEREST]],"")</f>
        <v>431.51526893275235</v>
      </c>
      <c r="I66" s="32">
        <f>IF(PaymentSchedule434[[#This Row],[PMT NO]]&lt;&gt;"",PaymentSchedule434[[#This Row],[BEGINNING BALANCE]]*(InterestRate/PaymentsPerYear),"")</f>
        <v>46.892952844392333</v>
      </c>
      <c r="J66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13636.370584384948</v>
      </c>
      <c r="K66" s="32">
        <f>IF(PaymentSchedule434[[#This Row],[PMT NO]]&lt;&gt;"",SUM(INDEX(PaymentSchedule434[INTEREST],1,1):PaymentSchedule434[[#This Row],[INTEREST]]),"")</f>
        <v>4470.4145603507695</v>
      </c>
    </row>
    <row r="67" spans="2:11" x14ac:dyDescent="0.3">
      <c r="B67" s="30">
        <f>IF(LoanIsGood,IF(ROW()-ROW(PaymentSchedule434[[#Headers],[PMT NO]])&gt;ScheduledNumberOfPayments,"",ROW()-ROW(PaymentSchedule434[[#Headers],[PMT NO]])),"")</f>
        <v>55</v>
      </c>
      <c r="C67" s="31">
        <f>IF(PaymentSchedule434[[#This Row],[PMT NO]]&lt;&gt;"",EOMONTH(LoanStartDate,ROW(PaymentSchedule434[[#This Row],[PMT NO]])-ROW(PaymentSchedule434[[#Headers],[PMT NO]])-2)+DAY(LoanStartDate),"")</f>
        <v>45383</v>
      </c>
      <c r="D67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13636.370584384948</v>
      </c>
      <c r="E67" s="32">
        <f>IF(PaymentSchedule434[[#This Row],[PMT NO]]&lt;&gt;"",ScheduledPayment,"")</f>
        <v>478.40822177714466</v>
      </c>
      <c r="F67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67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67" s="32">
        <f>IF(PaymentSchedule434[[#This Row],[PMT NO]]&lt;&gt;"",PaymentSchedule434[[#This Row],[TOTAL PAYMENT]]-PaymentSchedule434[[#This Row],[INTEREST]],"")</f>
        <v>432.95365316252816</v>
      </c>
      <c r="I67" s="32">
        <f>IF(PaymentSchedule434[[#This Row],[PMT NO]]&lt;&gt;"",PaymentSchedule434[[#This Row],[BEGINNING BALANCE]]*(InterestRate/PaymentsPerYear),"")</f>
        <v>45.454568614616491</v>
      </c>
      <c r="J67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13203.416931222418</v>
      </c>
      <c r="K67" s="32">
        <f>IF(PaymentSchedule434[[#This Row],[PMT NO]]&lt;&gt;"",SUM(INDEX(PaymentSchedule434[INTEREST],1,1):PaymentSchedule434[[#This Row],[INTEREST]]),"")</f>
        <v>4515.8691289653862</v>
      </c>
    </row>
    <row r="68" spans="2:11" x14ac:dyDescent="0.3">
      <c r="B68" s="30">
        <f>IF(LoanIsGood,IF(ROW()-ROW(PaymentSchedule434[[#Headers],[PMT NO]])&gt;ScheduledNumberOfPayments,"",ROW()-ROW(PaymentSchedule434[[#Headers],[PMT NO]])),"")</f>
        <v>56</v>
      </c>
      <c r="C68" s="31">
        <f>IF(PaymentSchedule434[[#This Row],[PMT NO]]&lt;&gt;"",EOMONTH(LoanStartDate,ROW(PaymentSchedule434[[#This Row],[PMT NO]])-ROW(PaymentSchedule434[[#Headers],[PMT NO]])-2)+DAY(LoanStartDate),"")</f>
        <v>45413</v>
      </c>
      <c r="D68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13203.416931222418</v>
      </c>
      <c r="E68" s="32">
        <f>IF(PaymentSchedule434[[#This Row],[PMT NO]]&lt;&gt;"",ScheduledPayment,"")</f>
        <v>478.40822177714466</v>
      </c>
      <c r="F68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68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68" s="32">
        <f>IF(PaymentSchedule434[[#This Row],[PMT NO]]&lt;&gt;"",PaymentSchedule434[[#This Row],[TOTAL PAYMENT]]-PaymentSchedule434[[#This Row],[INTEREST]],"")</f>
        <v>434.39683200640326</v>
      </c>
      <c r="I68" s="32">
        <f>IF(PaymentSchedule434[[#This Row],[PMT NO]]&lt;&gt;"",PaymentSchedule434[[#This Row],[BEGINNING BALANCE]]*(InterestRate/PaymentsPerYear),"")</f>
        <v>44.011389770741395</v>
      </c>
      <c r="J68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12769.020099216015</v>
      </c>
      <c r="K68" s="32">
        <f>IF(PaymentSchedule434[[#This Row],[PMT NO]]&lt;&gt;"",SUM(INDEX(PaymentSchedule434[INTEREST],1,1):PaymentSchedule434[[#This Row],[INTEREST]]),"")</f>
        <v>4559.8805187361277</v>
      </c>
    </row>
    <row r="69" spans="2:11" x14ac:dyDescent="0.3">
      <c r="B69" s="30">
        <f>IF(LoanIsGood,IF(ROW()-ROW(PaymentSchedule434[[#Headers],[PMT NO]])&gt;ScheduledNumberOfPayments,"",ROW()-ROW(PaymentSchedule434[[#Headers],[PMT NO]])),"")</f>
        <v>57</v>
      </c>
      <c r="C69" s="31">
        <f>IF(PaymentSchedule434[[#This Row],[PMT NO]]&lt;&gt;"",EOMONTH(LoanStartDate,ROW(PaymentSchedule434[[#This Row],[PMT NO]])-ROW(PaymentSchedule434[[#Headers],[PMT NO]])-2)+DAY(LoanStartDate),"")</f>
        <v>45444</v>
      </c>
      <c r="D69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12769.020099216015</v>
      </c>
      <c r="E69" s="32">
        <f>IF(PaymentSchedule434[[#This Row],[PMT NO]]&lt;&gt;"",ScheduledPayment,"")</f>
        <v>478.40822177714466</v>
      </c>
      <c r="F69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69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69" s="32">
        <f>IF(PaymentSchedule434[[#This Row],[PMT NO]]&lt;&gt;"",PaymentSchedule434[[#This Row],[TOTAL PAYMENT]]-PaymentSchedule434[[#This Row],[INTEREST]],"")</f>
        <v>435.84482144642459</v>
      </c>
      <c r="I69" s="32">
        <f>IF(PaymentSchedule434[[#This Row],[PMT NO]]&lt;&gt;"",PaymentSchedule434[[#This Row],[BEGINNING BALANCE]]*(InterestRate/PaymentsPerYear),"")</f>
        <v>42.563400330720057</v>
      </c>
      <c r="J69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12333.175277769591</v>
      </c>
      <c r="K69" s="32">
        <f>IF(PaymentSchedule434[[#This Row],[PMT NO]]&lt;&gt;"",SUM(INDEX(PaymentSchedule434[INTEREST],1,1):PaymentSchedule434[[#This Row],[INTEREST]]),"")</f>
        <v>4602.4439190668481</v>
      </c>
    </row>
    <row r="70" spans="2:11" x14ac:dyDescent="0.3">
      <c r="B70" s="30">
        <f>IF(LoanIsGood,IF(ROW()-ROW(PaymentSchedule434[[#Headers],[PMT NO]])&gt;ScheduledNumberOfPayments,"",ROW()-ROW(PaymentSchedule434[[#Headers],[PMT NO]])),"")</f>
        <v>58</v>
      </c>
      <c r="C70" s="31">
        <f>IF(PaymentSchedule434[[#This Row],[PMT NO]]&lt;&gt;"",EOMONTH(LoanStartDate,ROW(PaymentSchedule434[[#This Row],[PMT NO]])-ROW(PaymentSchedule434[[#Headers],[PMT NO]])-2)+DAY(LoanStartDate),"")</f>
        <v>45474</v>
      </c>
      <c r="D70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12333.175277769591</v>
      </c>
      <c r="E70" s="32">
        <f>IF(PaymentSchedule434[[#This Row],[PMT NO]]&lt;&gt;"",ScheduledPayment,"")</f>
        <v>478.40822177714466</v>
      </c>
      <c r="F70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70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70" s="32">
        <f>IF(PaymentSchedule434[[#This Row],[PMT NO]]&lt;&gt;"",PaymentSchedule434[[#This Row],[TOTAL PAYMENT]]-PaymentSchedule434[[#This Row],[INTEREST]],"")</f>
        <v>437.29763751791268</v>
      </c>
      <c r="I70" s="32">
        <f>IF(PaymentSchedule434[[#This Row],[PMT NO]]&lt;&gt;"",PaymentSchedule434[[#This Row],[BEGINNING BALANCE]]*(InterestRate/PaymentsPerYear),"")</f>
        <v>41.11058425923197</v>
      </c>
      <c r="J70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11895.877640251678</v>
      </c>
      <c r="K70" s="32">
        <f>IF(PaymentSchedule434[[#This Row],[PMT NO]]&lt;&gt;"",SUM(INDEX(PaymentSchedule434[INTEREST],1,1):PaymentSchedule434[[#This Row],[INTEREST]]),"")</f>
        <v>4643.5545033260805</v>
      </c>
    </row>
    <row r="71" spans="2:11" x14ac:dyDescent="0.3">
      <c r="B71" s="30">
        <f>IF(LoanIsGood,IF(ROW()-ROW(PaymentSchedule434[[#Headers],[PMT NO]])&gt;ScheduledNumberOfPayments,"",ROW()-ROW(PaymentSchedule434[[#Headers],[PMT NO]])),"")</f>
        <v>59</v>
      </c>
      <c r="C71" s="31">
        <f>IF(PaymentSchedule434[[#This Row],[PMT NO]]&lt;&gt;"",EOMONTH(LoanStartDate,ROW(PaymentSchedule434[[#This Row],[PMT NO]])-ROW(PaymentSchedule434[[#Headers],[PMT NO]])-2)+DAY(LoanStartDate),"")</f>
        <v>45505</v>
      </c>
      <c r="D71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11895.877640251678</v>
      </c>
      <c r="E71" s="32">
        <f>IF(PaymentSchedule434[[#This Row],[PMT NO]]&lt;&gt;"",ScheduledPayment,"")</f>
        <v>478.40822177714466</v>
      </c>
      <c r="F71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71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71" s="32">
        <f>IF(PaymentSchedule434[[#This Row],[PMT NO]]&lt;&gt;"",PaymentSchedule434[[#This Row],[TOTAL PAYMENT]]-PaymentSchedule434[[#This Row],[INTEREST]],"")</f>
        <v>438.75529630963905</v>
      </c>
      <c r="I71" s="32">
        <f>IF(PaymentSchedule434[[#This Row],[PMT NO]]&lt;&gt;"",PaymentSchedule434[[#This Row],[BEGINNING BALANCE]]*(InterestRate/PaymentsPerYear),"")</f>
        <v>39.652925467505597</v>
      </c>
      <c r="J71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11457.122343942039</v>
      </c>
      <c r="K71" s="32">
        <f>IF(PaymentSchedule434[[#This Row],[PMT NO]]&lt;&gt;"",SUM(INDEX(PaymentSchedule434[INTEREST],1,1):PaymentSchedule434[[#This Row],[INTEREST]]),"")</f>
        <v>4683.2074287935857</v>
      </c>
    </row>
    <row r="72" spans="2:11" x14ac:dyDescent="0.3">
      <c r="B72" s="30">
        <f>IF(LoanIsGood,IF(ROW()-ROW(PaymentSchedule434[[#Headers],[PMT NO]])&gt;ScheduledNumberOfPayments,"",ROW()-ROW(PaymentSchedule434[[#Headers],[PMT NO]])),"")</f>
        <v>60</v>
      </c>
      <c r="C72" s="31">
        <f>IF(PaymentSchedule434[[#This Row],[PMT NO]]&lt;&gt;"",EOMONTH(LoanStartDate,ROW(PaymentSchedule434[[#This Row],[PMT NO]])-ROW(PaymentSchedule434[[#Headers],[PMT NO]])-2)+DAY(LoanStartDate),"")</f>
        <v>45536</v>
      </c>
      <c r="D72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11457.122343942039</v>
      </c>
      <c r="E72" s="32">
        <f>IF(PaymentSchedule434[[#This Row],[PMT NO]]&lt;&gt;"",ScheduledPayment,"")</f>
        <v>478.40822177714466</v>
      </c>
      <c r="F72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72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72" s="32">
        <f>IF(PaymentSchedule434[[#This Row],[PMT NO]]&lt;&gt;"",PaymentSchedule434[[#This Row],[TOTAL PAYMENT]]-PaymentSchedule434[[#This Row],[INTEREST]],"")</f>
        <v>440.21781396400451</v>
      </c>
      <c r="I72" s="32">
        <f>IF(PaymentSchedule434[[#This Row],[PMT NO]]&lt;&gt;"",PaymentSchedule434[[#This Row],[BEGINNING BALANCE]]*(InterestRate/PaymentsPerYear),"")</f>
        <v>38.190407813140133</v>
      </c>
      <c r="J72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11016.904529978035</v>
      </c>
      <c r="K72" s="32">
        <f>IF(PaymentSchedule434[[#This Row],[PMT NO]]&lt;&gt;"",SUM(INDEX(PaymentSchedule434[INTEREST],1,1):PaymentSchedule434[[#This Row],[INTEREST]]),"")</f>
        <v>4721.3978366067258</v>
      </c>
    </row>
    <row r="73" spans="2:11" x14ac:dyDescent="0.3">
      <c r="B73" s="30">
        <f>IF(LoanIsGood,IF(ROW()-ROW(PaymentSchedule434[[#Headers],[PMT NO]])&gt;ScheduledNumberOfPayments,"",ROW()-ROW(PaymentSchedule434[[#Headers],[PMT NO]])),"")</f>
        <v>61</v>
      </c>
      <c r="C73" s="31">
        <f>IF(PaymentSchedule434[[#This Row],[PMT NO]]&lt;&gt;"",EOMONTH(LoanStartDate,ROW(PaymentSchedule434[[#This Row],[PMT NO]])-ROW(PaymentSchedule434[[#Headers],[PMT NO]])-2)+DAY(LoanStartDate),"")</f>
        <v>45566</v>
      </c>
      <c r="D73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11016.904529978035</v>
      </c>
      <c r="E73" s="32">
        <f>IF(PaymentSchedule434[[#This Row],[PMT NO]]&lt;&gt;"",ScheduledPayment,"")</f>
        <v>478.40822177714466</v>
      </c>
      <c r="F73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73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73" s="32">
        <f>IF(PaymentSchedule434[[#This Row],[PMT NO]]&lt;&gt;"",PaymentSchedule434[[#This Row],[TOTAL PAYMENT]]-PaymentSchedule434[[#This Row],[INTEREST]],"")</f>
        <v>441.68520667721788</v>
      </c>
      <c r="I73" s="32">
        <f>IF(PaymentSchedule434[[#This Row],[PMT NO]]&lt;&gt;"",PaymentSchedule434[[#This Row],[BEGINNING BALANCE]]*(InterestRate/PaymentsPerYear),"")</f>
        <v>36.723015099926791</v>
      </c>
      <c r="J73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10575.219323300818</v>
      </c>
      <c r="K73" s="32">
        <f>IF(PaymentSchedule434[[#This Row],[PMT NO]]&lt;&gt;"",SUM(INDEX(PaymentSchedule434[INTEREST],1,1):PaymentSchedule434[[#This Row],[INTEREST]]),"")</f>
        <v>4758.1208517066525</v>
      </c>
    </row>
    <row r="74" spans="2:11" x14ac:dyDescent="0.3">
      <c r="B74" s="30">
        <f>IF(LoanIsGood,IF(ROW()-ROW(PaymentSchedule434[[#Headers],[PMT NO]])&gt;ScheduledNumberOfPayments,"",ROW()-ROW(PaymentSchedule434[[#Headers],[PMT NO]])),"")</f>
        <v>62</v>
      </c>
      <c r="C74" s="31">
        <f>IF(PaymentSchedule434[[#This Row],[PMT NO]]&lt;&gt;"",EOMONTH(LoanStartDate,ROW(PaymentSchedule434[[#This Row],[PMT NO]])-ROW(PaymentSchedule434[[#Headers],[PMT NO]])-2)+DAY(LoanStartDate),"")</f>
        <v>45597</v>
      </c>
      <c r="D74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10575.219323300818</v>
      </c>
      <c r="E74" s="32">
        <f>IF(PaymentSchedule434[[#This Row],[PMT NO]]&lt;&gt;"",ScheduledPayment,"")</f>
        <v>478.40822177714466</v>
      </c>
      <c r="F74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74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74" s="32">
        <f>IF(PaymentSchedule434[[#This Row],[PMT NO]]&lt;&gt;"",PaymentSchedule434[[#This Row],[TOTAL PAYMENT]]-PaymentSchedule434[[#This Row],[INTEREST]],"")</f>
        <v>443.15749069947526</v>
      </c>
      <c r="I74" s="32">
        <f>IF(PaymentSchedule434[[#This Row],[PMT NO]]&lt;&gt;"",PaymentSchedule434[[#This Row],[BEGINNING BALANCE]]*(InterestRate/PaymentsPerYear),"")</f>
        <v>35.2507310776694</v>
      </c>
      <c r="J74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10132.061832601343</v>
      </c>
      <c r="K74" s="32">
        <f>IF(PaymentSchedule434[[#This Row],[PMT NO]]&lt;&gt;"",SUM(INDEX(PaymentSchedule434[INTEREST],1,1):PaymentSchedule434[[#This Row],[INTEREST]]),"")</f>
        <v>4793.3715827843216</v>
      </c>
    </row>
    <row r="75" spans="2:11" x14ac:dyDescent="0.3">
      <c r="B75" s="30">
        <f>IF(LoanIsGood,IF(ROW()-ROW(PaymentSchedule434[[#Headers],[PMT NO]])&gt;ScheduledNumberOfPayments,"",ROW()-ROW(PaymentSchedule434[[#Headers],[PMT NO]])),"")</f>
        <v>63</v>
      </c>
      <c r="C75" s="31">
        <f>IF(PaymentSchedule434[[#This Row],[PMT NO]]&lt;&gt;"",EOMONTH(LoanStartDate,ROW(PaymentSchedule434[[#This Row],[PMT NO]])-ROW(PaymentSchedule434[[#Headers],[PMT NO]])-2)+DAY(LoanStartDate),"")</f>
        <v>45627</v>
      </c>
      <c r="D75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10132.061832601343</v>
      </c>
      <c r="E75" s="32">
        <f>IF(PaymentSchedule434[[#This Row],[PMT NO]]&lt;&gt;"",ScheduledPayment,"")</f>
        <v>478.40822177714466</v>
      </c>
      <c r="F75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75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75" s="32">
        <f>IF(PaymentSchedule434[[#This Row],[PMT NO]]&lt;&gt;"",PaymentSchedule434[[#This Row],[TOTAL PAYMENT]]-PaymentSchedule434[[#This Row],[INTEREST]],"")</f>
        <v>444.63468233514016</v>
      </c>
      <c r="I75" s="32">
        <f>IF(PaymentSchedule434[[#This Row],[PMT NO]]&lt;&gt;"",PaymentSchedule434[[#This Row],[BEGINNING BALANCE]]*(InterestRate/PaymentsPerYear),"")</f>
        <v>33.773539442004477</v>
      </c>
      <c r="J75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9687.4271502662032</v>
      </c>
      <c r="K75" s="32">
        <f>IF(PaymentSchedule434[[#This Row],[PMT NO]]&lt;&gt;"",SUM(INDEX(PaymentSchedule434[INTEREST],1,1):PaymentSchedule434[[#This Row],[INTEREST]]),"")</f>
        <v>4827.1451222263258</v>
      </c>
    </row>
    <row r="76" spans="2:11" x14ac:dyDescent="0.3">
      <c r="B76" s="30">
        <f>IF(LoanIsGood,IF(ROW()-ROW(PaymentSchedule434[[#Headers],[PMT NO]])&gt;ScheduledNumberOfPayments,"",ROW()-ROW(PaymentSchedule434[[#Headers],[PMT NO]])),"")</f>
        <v>64</v>
      </c>
      <c r="C76" s="31">
        <f>IF(PaymentSchedule434[[#This Row],[PMT NO]]&lt;&gt;"",EOMONTH(LoanStartDate,ROW(PaymentSchedule434[[#This Row],[PMT NO]])-ROW(PaymentSchedule434[[#Headers],[PMT NO]])-2)+DAY(LoanStartDate),"")</f>
        <v>45658</v>
      </c>
      <c r="D76" s="32">
        <f>IF(PaymentSchedule434[[#This Row],[PMT NO]]&lt;&gt;"",IF(ROW()-ROW(PaymentSchedule434[[#Headers],[BEGINNING BALANCE]])=1,LoanAmount,INDEX(PaymentSchedule434[ENDING BALANCE],ROW()-ROW(PaymentSchedule434[[#Headers],[BEGINNING BALANCE]])-1)),"")</f>
        <v>9687.4271502662032</v>
      </c>
      <c r="E76" s="32">
        <f>IF(PaymentSchedule434[[#This Row],[PMT NO]]&lt;&gt;"",ScheduledPayment,"")</f>
        <v>478.40822177714466</v>
      </c>
      <c r="F76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76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76" s="32">
        <f>IF(PaymentSchedule434[[#This Row],[PMT NO]]&lt;&gt;"",PaymentSchedule434[[#This Row],[TOTAL PAYMENT]]-PaymentSchedule434[[#This Row],[INTEREST]],"")</f>
        <v>446.11679794292399</v>
      </c>
      <c r="I76" s="32">
        <f>IF(PaymentSchedule434[[#This Row],[PMT NO]]&lt;&gt;"",PaymentSchedule434[[#This Row],[BEGINNING BALANCE]]*(InterestRate/PaymentsPerYear),"")</f>
        <v>32.29142383422068</v>
      </c>
      <c r="J76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9241.3103523232785</v>
      </c>
      <c r="K76" s="32">
        <f>IF(PaymentSchedule434[[#This Row],[PMT NO]]&lt;&gt;"",SUM(INDEX(PaymentSchedule434[INTEREST],1,1):PaymentSchedule434[[#This Row],[INTEREST]]),"")</f>
        <v>4859.4365460605468</v>
      </c>
    </row>
    <row r="77" spans="2:11" x14ac:dyDescent="0.3">
      <c r="B77" s="30">
        <f>IF(LoanIsGood,IF(ROW()-ROW(PaymentSchedule434[[#Headers],[PMT NO]])&gt;ScheduledNumberOfPayments,"",ROW()-ROW(PaymentSchedule434[[#Headers],[PMT NO]])),"")</f>
        <v>65</v>
      </c>
      <c r="C77" s="31">
        <f>IF(PaymentSchedule434[[#This Row],[PMT NO]]&lt;&gt;"",EOMONTH(LoanStartDate,ROW(PaymentSchedule434[[#This Row],[PMT NO]])-ROW(PaymentSchedule434[[#Headers],[PMT NO]])-2)+DAY(LoanStartDate),"")</f>
        <v>45689</v>
      </c>
      <c r="D77" s="32">
        <f>IF(PaymentSchedule434[[#This Row],[PMT NO]]&lt;&gt;"",IF(ROW()-ROW(PaymentSchedule434[[#Headers],[BEGINNING BALANCE]])=1,LoanAmount,INDEX(PaymentSchedule434[ENDING BALANCE],ROW()-ROW(PaymentSchedule434[[#Headers],[BEGINNING BALANCE]])-1)),"")</f>
        <v>9241.3103523232785</v>
      </c>
      <c r="E77" s="32">
        <f>IF(PaymentSchedule434[[#This Row],[PMT NO]]&lt;&gt;"",ScheduledPayment,"")</f>
        <v>478.40822177714466</v>
      </c>
      <c r="F77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77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77" s="32">
        <f>IF(PaymentSchedule434[[#This Row],[PMT NO]]&lt;&gt;"",PaymentSchedule434[[#This Row],[TOTAL PAYMENT]]-PaymentSchedule434[[#This Row],[INTEREST]],"")</f>
        <v>447.60385393606708</v>
      </c>
      <c r="I77" s="32">
        <f>IF(PaymentSchedule434[[#This Row],[PMT NO]]&lt;&gt;"",PaymentSchedule434[[#This Row],[BEGINNING BALANCE]]*(InterestRate/PaymentsPerYear),"")</f>
        <v>30.804367841077596</v>
      </c>
      <c r="J77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8793.7064983872115</v>
      </c>
      <c r="K77" s="32">
        <f>IF(PaymentSchedule434[[#This Row],[PMT NO]]&lt;&gt;"",SUM(INDEX(PaymentSchedule434[INTEREST],1,1):PaymentSchedule434[[#This Row],[INTEREST]]),"")</f>
        <v>4890.2409139016245</v>
      </c>
    </row>
    <row r="78" spans="2:11" x14ac:dyDescent="0.3">
      <c r="B78" s="30">
        <f>IF(LoanIsGood,IF(ROW()-ROW(PaymentSchedule434[[#Headers],[PMT NO]])&gt;ScheduledNumberOfPayments,"",ROW()-ROW(PaymentSchedule434[[#Headers],[PMT NO]])),"")</f>
        <v>66</v>
      </c>
      <c r="C78" s="31">
        <f>IF(PaymentSchedule434[[#This Row],[PMT NO]]&lt;&gt;"",EOMONTH(LoanStartDate,ROW(PaymentSchedule434[[#This Row],[PMT NO]])-ROW(PaymentSchedule434[[#Headers],[PMT NO]])-2)+DAY(LoanStartDate),"")</f>
        <v>45717</v>
      </c>
      <c r="D78" s="32">
        <f>IF(PaymentSchedule434[[#This Row],[PMT NO]]&lt;&gt;"",IF(ROW()-ROW(PaymentSchedule434[[#Headers],[BEGINNING BALANCE]])=1,LoanAmount,INDEX(PaymentSchedule434[ENDING BALANCE],ROW()-ROW(PaymentSchedule434[[#Headers],[BEGINNING BALANCE]])-1)),"")</f>
        <v>8793.7064983872115</v>
      </c>
      <c r="E78" s="32">
        <f>IF(PaymentSchedule434[[#This Row],[PMT NO]]&lt;&gt;"",ScheduledPayment,"")</f>
        <v>478.40822177714466</v>
      </c>
      <c r="F78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78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78" s="32">
        <f>IF(PaymentSchedule434[[#This Row],[PMT NO]]&lt;&gt;"",PaymentSchedule434[[#This Row],[TOTAL PAYMENT]]-PaymentSchedule434[[#This Row],[INTEREST]],"")</f>
        <v>449.0958667825206</v>
      </c>
      <c r="I78" s="32">
        <f>IF(PaymentSchedule434[[#This Row],[PMT NO]]&lt;&gt;"",PaymentSchedule434[[#This Row],[BEGINNING BALANCE]]*(InterestRate/PaymentsPerYear),"")</f>
        <v>29.312354994624041</v>
      </c>
      <c r="J78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8344.6106316046917</v>
      </c>
      <c r="K78" s="32">
        <f>IF(PaymentSchedule434[[#This Row],[PMT NO]]&lt;&gt;"",SUM(INDEX(PaymentSchedule434[INTEREST],1,1):PaymentSchedule434[[#This Row],[INTEREST]]),"")</f>
        <v>4919.5532688962485</v>
      </c>
    </row>
    <row r="79" spans="2:11" x14ac:dyDescent="0.3">
      <c r="B79" s="30">
        <f>IF(LoanIsGood,IF(ROW()-ROW(PaymentSchedule434[[#Headers],[PMT NO]])&gt;ScheduledNumberOfPayments,"",ROW()-ROW(PaymentSchedule434[[#Headers],[PMT NO]])),"")</f>
        <v>67</v>
      </c>
      <c r="C79" s="31">
        <f>IF(PaymentSchedule434[[#This Row],[PMT NO]]&lt;&gt;"",EOMONTH(LoanStartDate,ROW(PaymentSchedule434[[#This Row],[PMT NO]])-ROW(PaymentSchedule434[[#Headers],[PMT NO]])-2)+DAY(LoanStartDate),"")</f>
        <v>45748</v>
      </c>
      <c r="D79" s="32">
        <f>IF(PaymentSchedule434[[#This Row],[PMT NO]]&lt;&gt;"",IF(ROW()-ROW(PaymentSchedule434[[#Headers],[BEGINNING BALANCE]])=1,LoanAmount,INDEX(PaymentSchedule434[ENDING BALANCE],ROW()-ROW(PaymentSchedule434[[#Headers],[BEGINNING BALANCE]])-1)),"")</f>
        <v>8344.6106316046917</v>
      </c>
      <c r="E79" s="32">
        <f>IF(PaymentSchedule434[[#This Row],[PMT NO]]&lt;&gt;"",ScheduledPayment,"")</f>
        <v>478.40822177714466</v>
      </c>
      <c r="F79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79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79" s="32">
        <f>IF(PaymentSchedule434[[#This Row],[PMT NO]]&lt;&gt;"",PaymentSchedule434[[#This Row],[TOTAL PAYMENT]]-PaymentSchedule434[[#This Row],[INTEREST]],"")</f>
        <v>450.59285300512903</v>
      </c>
      <c r="I79" s="32">
        <f>IF(PaymentSchedule434[[#This Row],[PMT NO]]&lt;&gt;"",PaymentSchedule434[[#This Row],[BEGINNING BALANCE]]*(InterestRate/PaymentsPerYear),"")</f>
        <v>27.815368772015642</v>
      </c>
      <c r="J79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7894.0177785995629</v>
      </c>
      <c r="K79" s="32">
        <f>IF(PaymentSchedule434[[#This Row],[PMT NO]]&lt;&gt;"",SUM(INDEX(PaymentSchedule434[INTEREST],1,1):PaymentSchedule434[[#This Row],[INTEREST]]),"")</f>
        <v>4947.3686376682645</v>
      </c>
    </row>
    <row r="80" spans="2:11" x14ac:dyDescent="0.3">
      <c r="B80" s="30">
        <f>IF(LoanIsGood,IF(ROW()-ROW(PaymentSchedule434[[#Headers],[PMT NO]])&gt;ScheduledNumberOfPayments,"",ROW()-ROW(PaymentSchedule434[[#Headers],[PMT NO]])),"")</f>
        <v>68</v>
      </c>
      <c r="C80" s="31">
        <f>IF(PaymentSchedule434[[#This Row],[PMT NO]]&lt;&gt;"",EOMONTH(LoanStartDate,ROW(PaymentSchedule434[[#This Row],[PMT NO]])-ROW(PaymentSchedule434[[#Headers],[PMT NO]])-2)+DAY(LoanStartDate),"")</f>
        <v>45778</v>
      </c>
      <c r="D80" s="32">
        <f>IF(PaymentSchedule434[[#This Row],[PMT NO]]&lt;&gt;"",IF(ROW()-ROW(PaymentSchedule434[[#Headers],[BEGINNING BALANCE]])=1,LoanAmount,INDEX(PaymentSchedule434[ENDING BALANCE],ROW()-ROW(PaymentSchedule434[[#Headers],[BEGINNING BALANCE]])-1)),"")</f>
        <v>7894.0177785995629</v>
      </c>
      <c r="E80" s="32">
        <f>IF(PaymentSchedule434[[#This Row],[PMT NO]]&lt;&gt;"",ScheduledPayment,"")</f>
        <v>478.40822177714466</v>
      </c>
      <c r="F80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80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80" s="32">
        <f>IF(PaymentSchedule434[[#This Row],[PMT NO]]&lt;&gt;"",PaymentSchedule434[[#This Row],[TOTAL PAYMENT]]-PaymentSchedule434[[#This Row],[INTEREST]],"")</f>
        <v>452.09482918181277</v>
      </c>
      <c r="I80" s="32">
        <f>IF(PaymentSchedule434[[#This Row],[PMT NO]]&lt;&gt;"",PaymentSchedule434[[#This Row],[BEGINNING BALANCE]]*(InterestRate/PaymentsPerYear),"")</f>
        <v>26.313392595331877</v>
      </c>
      <c r="J80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7441.9229494177498</v>
      </c>
      <c r="K80" s="32">
        <f>IF(PaymentSchedule434[[#This Row],[PMT NO]]&lt;&gt;"",SUM(INDEX(PaymentSchedule434[INTEREST],1,1):PaymentSchedule434[[#This Row],[INTEREST]]),"")</f>
        <v>4973.6820302635961</v>
      </c>
    </row>
    <row r="81" spans="2:11" x14ac:dyDescent="0.3">
      <c r="B81" s="30">
        <f>IF(LoanIsGood,IF(ROW()-ROW(PaymentSchedule434[[#Headers],[PMT NO]])&gt;ScheduledNumberOfPayments,"",ROW()-ROW(PaymentSchedule434[[#Headers],[PMT NO]])),"")</f>
        <v>69</v>
      </c>
      <c r="C81" s="31">
        <f>IF(PaymentSchedule434[[#This Row],[PMT NO]]&lt;&gt;"",EOMONTH(LoanStartDate,ROW(PaymentSchedule434[[#This Row],[PMT NO]])-ROW(PaymentSchedule434[[#Headers],[PMT NO]])-2)+DAY(LoanStartDate),"")</f>
        <v>45809</v>
      </c>
      <c r="D81" s="32">
        <f>IF(PaymentSchedule434[[#This Row],[PMT NO]]&lt;&gt;"",IF(ROW()-ROW(PaymentSchedule434[[#Headers],[BEGINNING BALANCE]])=1,LoanAmount,INDEX(PaymentSchedule434[ENDING BALANCE],ROW()-ROW(PaymentSchedule434[[#Headers],[BEGINNING BALANCE]])-1)),"")</f>
        <v>7441.9229494177498</v>
      </c>
      <c r="E81" s="32">
        <f>IF(PaymentSchedule434[[#This Row],[PMT NO]]&lt;&gt;"",ScheduledPayment,"")</f>
        <v>478.40822177714466</v>
      </c>
      <c r="F81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81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81" s="32">
        <f>IF(PaymentSchedule434[[#This Row],[PMT NO]]&lt;&gt;"",PaymentSchedule434[[#This Row],[TOTAL PAYMENT]]-PaymentSchedule434[[#This Row],[INTEREST]],"")</f>
        <v>453.60181194575216</v>
      </c>
      <c r="I81" s="32">
        <f>IF(PaymentSchedule434[[#This Row],[PMT NO]]&lt;&gt;"",PaymentSchedule434[[#This Row],[BEGINNING BALANCE]]*(InterestRate/PaymentsPerYear),"")</f>
        <v>24.8064098313925</v>
      </c>
      <c r="J81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6988.3211374719976</v>
      </c>
      <c r="K81" s="32">
        <f>IF(PaymentSchedule434[[#This Row],[PMT NO]]&lt;&gt;"",SUM(INDEX(PaymentSchedule434[INTEREST],1,1):PaymentSchedule434[[#This Row],[INTEREST]]),"")</f>
        <v>4998.4884400949886</v>
      </c>
    </row>
    <row r="82" spans="2:11" x14ac:dyDescent="0.3">
      <c r="B82" s="30">
        <f>IF(LoanIsGood,IF(ROW()-ROW(PaymentSchedule434[[#Headers],[PMT NO]])&gt;ScheduledNumberOfPayments,"",ROW()-ROW(PaymentSchedule434[[#Headers],[PMT NO]])),"")</f>
        <v>70</v>
      </c>
      <c r="C82" s="31">
        <f>IF(PaymentSchedule434[[#This Row],[PMT NO]]&lt;&gt;"",EOMONTH(LoanStartDate,ROW(PaymentSchedule434[[#This Row],[PMT NO]])-ROW(PaymentSchedule434[[#Headers],[PMT NO]])-2)+DAY(LoanStartDate),"")</f>
        <v>45839</v>
      </c>
      <c r="D82" s="32">
        <f>IF(PaymentSchedule434[[#This Row],[PMT NO]]&lt;&gt;"",IF(ROW()-ROW(PaymentSchedule434[[#Headers],[BEGINNING BALANCE]])=1,LoanAmount,INDEX(PaymentSchedule434[ENDING BALANCE],ROW()-ROW(PaymentSchedule434[[#Headers],[BEGINNING BALANCE]])-1)),"")</f>
        <v>6988.3211374719976</v>
      </c>
      <c r="E82" s="32">
        <f>IF(PaymentSchedule434[[#This Row],[PMT NO]]&lt;&gt;"",ScheduledPayment,"")</f>
        <v>478.40822177714466</v>
      </c>
      <c r="F82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82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82" s="32">
        <f>IF(PaymentSchedule434[[#This Row],[PMT NO]]&lt;&gt;"",PaymentSchedule434[[#This Row],[TOTAL PAYMENT]]-PaymentSchedule434[[#This Row],[INTEREST]],"")</f>
        <v>455.11381798557136</v>
      </c>
      <c r="I82" s="32">
        <f>IF(PaymentSchedule434[[#This Row],[PMT NO]]&lt;&gt;"",PaymentSchedule434[[#This Row],[BEGINNING BALANCE]]*(InterestRate/PaymentsPerYear),"")</f>
        <v>23.294403791573327</v>
      </c>
      <c r="J82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6533.2073194864261</v>
      </c>
      <c r="K82" s="32">
        <f>IF(PaymentSchedule434[[#This Row],[PMT NO]]&lt;&gt;"",SUM(INDEX(PaymentSchedule434[INTEREST],1,1):PaymentSchedule434[[#This Row],[INTEREST]]),"")</f>
        <v>5021.7828438865617</v>
      </c>
    </row>
    <row r="83" spans="2:11" x14ac:dyDescent="0.3">
      <c r="B83" s="30">
        <f>IF(LoanIsGood,IF(ROW()-ROW(PaymentSchedule434[[#Headers],[PMT NO]])&gt;ScheduledNumberOfPayments,"",ROW()-ROW(PaymentSchedule434[[#Headers],[PMT NO]])),"")</f>
        <v>71</v>
      </c>
      <c r="C83" s="31">
        <f>IF(PaymentSchedule434[[#This Row],[PMT NO]]&lt;&gt;"",EOMONTH(LoanStartDate,ROW(PaymentSchedule434[[#This Row],[PMT NO]])-ROW(PaymentSchedule434[[#Headers],[PMT NO]])-2)+DAY(LoanStartDate),"")</f>
        <v>45870</v>
      </c>
      <c r="D83" s="32">
        <f>IF(PaymentSchedule434[[#This Row],[PMT NO]]&lt;&gt;"",IF(ROW()-ROW(PaymentSchedule434[[#Headers],[BEGINNING BALANCE]])=1,LoanAmount,INDEX(PaymentSchedule434[ENDING BALANCE],ROW()-ROW(PaymentSchedule434[[#Headers],[BEGINNING BALANCE]])-1)),"")</f>
        <v>6533.2073194864261</v>
      </c>
      <c r="E83" s="32">
        <f>IF(PaymentSchedule434[[#This Row],[PMT NO]]&lt;&gt;"",ScheduledPayment,"")</f>
        <v>478.40822177714466</v>
      </c>
      <c r="F83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83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83" s="32">
        <f>IF(PaymentSchedule434[[#This Row],[PMT NO]]&lt;&gt;"",PaymentSchedule434[[#This Row],[TOTAL PAYMENT]]-PaymentSchedule434[[#This Row],[INTEREST]],"")</f>
        <v>456.63086404552325</v>
      </c>
      <c r="I83" s="32">
        <f>IF(PaymentSchedule434[[#This Row],[PMT NO]]&lt;&gt;"",PaymentSchedule434[[#This Row],[BEGINNING BALANCE]]*(InterestRate/PaymentsPerYear),"")</f>
        <v>21.777357731621422</v>
      </c>
      <c r="J83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6076.5764554409025</v>
      </c>
      <c r="K83" s="32">
        <f>IF(PaymentSchedule434[[#This Row],[PMT NO]]&lt;&gt;"",SUM(INDEX(PaymentSchedule434[INTEREST],1,1):PaymentSchedule434[[#This Row],[INTEREST]]),"")</f>
        <v>5043.5602016181829</v>
      </c>
    </row>
    <row r="84" spans="2:11" x14ac:dyDescent="0.3">
      <c r="B84" s="30">
        <f>IF(LoanIsGood,IF(ROW()-ROW(PaymentSchedule434[[#Headers],[PMT NO]])&gt;ScheduledNumberOfPayments,"",ROW()-ROW(PaymentSchedule434[[#Headers],[PMT NO]])),"")</f>
        <v>72</v>
      </c>
      <c r="C84" s="31">
        <f>IF(PaymentSchedule434[[#This Row],[PMT NO]]&lt;&gt;"",EOMONTH(LoanStartDate,ROW(PaymentSchedule434[[#This Row],[PMT NO]])-ROW(PaymentSchedule434[[#Headers],[PMT NO]])-2)+DAY(LoanStartDate),"")</f>
        <v>45901</v>
      </c>
      <c r="D84" s="32">
        <f>IF(PaymentSchedule434[[#This Row],[PMT NO]]&lt;&gt;"",IF(ROW()-ROW(PaymentSchedule434[[#Headers],[BEGINNING BALANCE]])=1,LoanAmount,INDEX(PaymentSchedule434[ENDING BALANCE],ROW()-ROW(PaymentSchedule434[[#Headers],[BEGINNING BALANCE]])-1)),"")</f>
        <v>6076.5764554409025</v>
      </c>
      <c r="E84" s="32">
        <f>IF(PaymentSchedule434[[#This Row],[PMT NO]]&lt;&gt;"",ScheduledPayment,"")</f>
        <v>478.40822177714466</v>
      </c>
      <c r="F84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84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84" s="32">
        <f>IF(PaymentSchedule434[[#This Row],[PMT NO]]&lt;&gt;"",PaymentSchedule434[[#This Row],[TOTAL PAYMENT]]-PaymentSchedule434[[#This Row],[INTEREST]],"")</f>
        <v>458.152966925675</v>
      </c>
      <c r="I84" s="32">
        <f>IF(PaymentSchedule434[[#This Row],[PMT NO]]&lt;&gt;"",PaymentSchedule434[[#This Row],[BEGINNING BALANCE]]*(InterestRate/PaymentsPerYear),"")</f>
        <v>20.255254851469676</v>
      </c>
      <c r="J84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5618.4234885152273</v>
      </c>
      <c r="K84" s="32">
        <f>IF(PaymentSchedule434[[#This Row],[PMT NO]]&lt;&gt;"",SUM(INDEX(PaymentSchedule434[INTEREST],1,1):PaymentSchedule434[[#This Row],[INTEREST]]),"")</f>
        <v>5063.8154564696524</v>
      </c>
    </row>
    <row r="85" spans="2:11" x14ac:dyDescent="0.3">
      <c r="B85" s="30">
        <f>IF(LoanIsGood,IF(ROW()-ROW(PaymentSchedule434[[#Headers],[PMT NO]])&gt;ScheduledNumberOfPayments,"",ROW()-ROW(PaymentSchedule434[[#Headers],[PMT NO]])),"")</f>
        <v>73</v>
      </c>
      <c r="C85" s="31">
        <f>IF(PaymentSchedule434[[#This Row],[PMT NO]]&lt;&gt;"",EOMONTH(LoanStartDate,ROW(PaymentSchedule434[[#This Row],[PMT NO]])-ROW(PaymentSchedule434[[#Headers],[PMT NO]])-2)+DAY(LoanStartDate),"")</f>
        <v>45931</v>
      </c>
      <c r="D85" s="32">
        <f>IF(PaymentSchedule434[[#This Row],[PMT NO]]&lt;&gt;"",IF(ROW()-ROW(PaymentSchedule434[[#Headers],[BEGINNING BALANCE]])=1,LoanAmount,INDEX(PaymentSchedule434[ENDING BALANCE],ROW()-ROW(PaymentSchedule434[[#Headers],[BEGINNING BALANCE]])-1)),"")</f>
        <v>5618.4234885152273</v>
      </c>
      <c r="E85" s="32">
        <f>IF(PaymentSchedule434[[#This Row],[PMT NO]]&lt;&gt;"",ScheduledPayment,"")</f>
        <v>478.40822177714466</v>
      </c>
      <c r="F85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85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85" s="32">
        <f>IF(PaymentSchedule434[[#This Row],[PMT NO]]&lt;&gt;"",PaymentSchedule434[[#This Row],[TOTAL PAYMENT]]-PaymentSchedule434[[#This Row],[INTEREST]],"")</f>
        <v>459.68014348209391</v>
      </c>
      <c r="I85" s="32">
        <f>IF(PaymentSchedule434[[#This Row],[PMT NO]]&lt;&gt;"",PaymentSchedule434[[#This Row],[BEGINNING BALANCE]]*(InterestRate/PaymentsPerYear),"")</f>
        <v>18.728078295050757</v>
      </c>
      <c r="J85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5158.7433450331337</v>
      </c>
      <c r="K85" s="32">
        <f>IF(PaymentSchedule434[[#This Row],[PMT NO]]&lt;&gt;"",SUM(INDEX(PaymentSchedule434[INTEREST],1,1):PaymentSchedule434[[#This Row],[INTEREST]]),"")</f>
        <v>5082.5435347647035</v>
      </c>
    </row>
    <row r="86" spans="2:11" x14ac:dyDescent="0.3">
      <c r="B86" s="30">
        <f>IF(LoanIsGood,IF(ROW()-ROW(PaymentSchedule434[[#Headers],[PMT NO]])&gt;ScheduledNumberOfPayments,"",ROW()-ROW(PaymentSchedule434[[#Headers],[PMT NO]])),"")</f>
        <v>74</v>
      </c>
      <c r="C86" s="31">
        <f>IF(PaymentSchedule434[[#This Row],[PMT NO]]&lt;&gt;"",EOMONTH(LoanStartDate,ROW(PaymentSchedule434[[#This Row],[PMT NO]])-ROW(PaymentSchedule434[[#Headers],[PMT NO]])-2)+DAY(LoanStartDate),"")</f>
        <v>45962</v>
      </c>
      <c r="D86" s="32">
        <f>IF(PaymentSchedule434[[#This Row],[PMT NO]]&lt;&gt;"",IF(ROW()-ROW(PaymentSchedule434[[#Headers],[BEGINNING BALANCE]])=1,LoanAmount,INDEX(PaymentSchedule434[ENDING BALANCE],ROW()-ROW(PaymentSchedule434[[#Headers],[BEGINNING BALANCE]])-1)),"")</f>
        <v>5158.7433450331337</v>
      </c>
      <c r="E86" s="32">
        <f>IF(PaymentSchedule434[[#This Row],[PMT NO]]&lt;&gt;"",ScheduledPayment,"")</f>
        <v>478.40822177714466</v>
      </c>
      <c r="F86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86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86" s="32">
        <f>IF(PaymentSchedule434[[#This Row],[PMT NO]]&lt;&gt;"",PaymentSchedule434[[#This Row],[TOTAL PAYMENT]]-PaymentSchedule434[[#This Row],[INTEREST]],"")</f>
        <v>461.21241062703422</v>
      </c>
      <c r="I86" s="32">
        <f>IF(PaymentSchedule434[[#This Row],[PMT NO]]&lt;&gt;"",PaymentSchedule434[[#This Row],[BEGINNING BALANCE]]*(InterestRate/PaymentsPerYear),"")</f>
        <v>17.195811150110448</v>
      </c>
      <c r="J86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4697.5309344060997</v>
      </c>
      <c r="K86" s="32">
        <f>IF(PaymentSchedule434[[#This Row],[PMT NO]]&lt;&gt;"",SUM(INDEX(PaymentSchedule434[INTEREST],1,1):PaymentSchedule434[[#This Row],[INTEREST]]),"")</f>
        <v>5099.7393459148143</v>
      </c>
    </row>
    <row r="87" spans="2:11" x14ac:dyDescent="0.3">
      <c r="B87" s="30">
        <f>IF(LoanIsGood,IF(ROW()-ROW(PaymentSchedule434[[#Headers],[PMT NO]])&gt;ScheduledNumberOfPayments,"",ROW()-ROW(PaymentSchedule434[[#Headers],[PMT NO]])),"")</f>
        <v>75</v>
      </c>
      <c r="C87" s="31">
        <f>IF(PaymentSchedule434[[#This Row],[PMT NO]]&lt;&gt;"",EOMONTH(LoanStartDate,ROW(PaymentSchedule434[[#This Row],[PMT NO]])-ROW(PaymentSchedule434[[#Headers],[PMT NO]])-2)+DAY(LoanStartDate),"")</f>
        <v>45992</v>
      </c>
      <c r="D87" s="32">
        <f>IF(PaymentSchedule434[[#This Row],[PMT NO]]&lt;&gt;"",IF(ROW()-ROW(PaymentSchedule434[[#Headers],[BEGINNING BALANCE]])=1,LoanAmount,INDEX(PaymentSchedule434[ENDING BALANCE],ROW()-ROW(PaymentSchedule434[[#Headers],[BEGINNING BALANCE]])-1)),"")</f>
        <v>4697.5309344060997</v>
      </c>
      <c r="E87" s="32">
        <f>IF(PaymentSchedule434[[#This Row],[PMT NO]]&lt;&gt;"",ScheduledPayment,"")</f>
        <v>478.40822177714466</v>
      </c>
      <c r="F87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87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87" s="32">
        <f>IF(PaymentSchedule434[[#This Row],[PMT NO]]&lt;&gt;"",PaymentSchedule434[[#This Row],[TOTAL PAYMENT]]-PaymentSchedule434[[#This Row],[INTEREST]],"")</f>
        <v>462.74978532912434</v>
      </c>
      <c r="I87" s="32">
        <f>IF(PaymentSchedule434[[#This Row],[PMT NO]]&lt;&gt;"",PaymentSchedule434[[#This Row],[BEGINNING BALANCE]]*(InterestRate/PaymentsPerYear),"")</f>
        <v>15.658436448020334</v>
      </c>
      <c r="J87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4234.7811490769755</v>
      </c>
      <c r="K87" s="32">
        <f>IF(PaymentSchedule434[[#This Row],[PMT NO]]&lt;&gt;"",SUM(INDEX(PaymentSchedule434[INTEREST],1,1):PaymentSchedule434[[#This Row],[INTEREST]]),"")</f>
        <v>5115.3977823628347</v>
      </c>
    </row>
    <row r="88" spans="2:11" x14ac:dyDescent="0.3">
      <c r="B88" s="30">
        <f>IF(LoanIsGood,IF(ROW()-ROW(PaymentSchedule434[[#Headers],[PMT NO]])&gt;ScheduledNumberOfPayments,"",ROW()-ROW(PaymentSchedule434[[#Headers],[PMT NO]])),"")</f>
        <v>76</v>
      </c>
      <c r="C88" s="31">
        <f>IF(PaymentSchedule434[[#This Row],[PMT NO]]&lt;&gt;"",EOMONTH(LoanStartDate,ROW(PaymentSchedule434[[#This Row],[PMT NO]])-ROW(PaymentSchedule434[[#Headers],[PMT NO]])-2)+DAY(LoanStartDate),"")</f>
        <v>46023</v>
      </c>
      <c r="D88" s="32">
        <f>IF(PaymentSchedule434[[#This Row],[PMT NO]]&lt;&gt;"",IF(ROW()-ROW(PaymentSchedule434[[#Headers],[BEGINNING BALANCE]])=1,LoanAmount,INDEX(PaymentSchedule434[ENDING BALANCE],ROW()-ROW(PaymentSchedule434[[#Headers],[BEGINNING BALANCE]])-1)),"")</f>
        <v>4234.7811490769755</v>
      </c>
      <c r="E88" s="32">
        <f>IF(PaymentSchedule434[[#This Row],[PMT NO]]&lt;&gt;"",ScheduledPayment,"")</f>
        <v>478.40822177714466</v>
      </c>
      <c r="F88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88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88" s="32">
        <f>IF(PaymentSchedule434[[#This Row],[PMT NO]]&lt;&gt;"",PaymentSchedule434[[#This Row],[TOTAL PAYMENT]]-PaymentSchedule434[[#This Row],[INTEREST]],"")</f>
        <v>464.29228461355473</v>
      </c>
      <c r="I88" s="32">
        <f>IF(PaymentSchedule434[[#This Row],[PMT NO]]&lt;&gt;"",PaymentSchedule434[[#This Row],[BEGINNING BALANCE]]*(InterestRate/PaymentsPerYear),"")</f>
        <v>14.115937163589919</v>
      </c>
      <c r="J88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3770.4888644634207</v>
      </c>
      <c r="K88" s="32">
        <f>IF(PaymentSchedule434[[#This Row],[PMT NO]]&lt;&gt;"",SUM(INDEX(PaymentSchedule434[INTEREST],1,1):PaymentSchedule434[[#This Row],[INTEREST]]),"")</f>
        <v>5129.5137195264242</v>
      </c>
    </row>
    <row r="89" spans="2:11" x14ac:dyDescent="0.3">
      <c r="B89" s="30">
        <f>IF(LoanIsGood,IF(ROW()-ROW(PaymentSchedule434[[#Headers],[PMT NO]])&gt;ScheduledNumberOfPayments,"",ROW()-ROW(PaymentSchedule434[[#Headers],[PMT NO]])),"")</f>
        <v>77</v>
      </c>
      <c r="C89" s="31">
        <f>IF(PaymentSchedule434[[#This Row],[PMT NO]]&lt;&gt;"",EOMONTH(LoanStartDate,ROW(PaymentSchedule434[[#This Row],[PMT NO]])-ROW(PaymentSchedule434[[#Headers],[PMT NO]])-2)+DAY(LoanStartDate),"")</f>
        <v>46054</v>
      </c>
      <c r="D89" s="32">
        <f>IF(PaymentSchedule434[[#This Row],[PMT NO]]&lt;&gt;"",IF(ROW()-ROW(PaymentSchedule434[[#Headers],[BEGINNING BALANCE]])=1,LoanAmount,INDEX(PaymentSchedule434[ENDING BALANCE],ROW()-ROW(PaymentSchedule434[[#Headers],[BEGINNING BALANCE]])-1)),"")</f>
        <v>3770.4888644634207</v>
      </c>
      <c r="E89" s="32">
        <f>IF(PaymentSchedule434[[#This Row],[PMT NO]]&lt;&gt;"",ScheduledPayment,"")</f>
        <v>478.40822177714466</v>
      </c>
      <c r="F89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89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89" s="32">
        <f>IF(PaymentSchedule434[[#This Row],[PMT NO]]&lt;&gt;"",PaymentSchedule434[[#This Row],[TOTAL PAYMENT]]-PaymentSchedule434[[#This Row],[INTEREST]],"")</f>
        <v>465.83992556226661</v>
      </c>
      <c r="I89" s="32">
        <f>IF(PaymentSchedule434[[#This Row],[PMT NO]]&lt;&gt;"",PaymentSchedule434[[#This Row],[BEGINNING BALANCE]]*(InterestRate/PaymentsPerYear),"")</f>
        <v>12.568296214878069</v>
      </c>
      <c r="J89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3304.648938901154</v>
      </c>
      <c r="K89" s="32">
        <f>IF(PaymentSchedule434[[#This Row],[PMT NO]]&lt;&gt;"",SUM(INDEX(PaymentSchedule434[INTEREST],1,1):PaymentSchedule434[[#This Row],[INTEREST]]),"")</f>
        <v>5142.0820157413027</v>
      </c>
    </row>
    <row r="90" spans="2:11" x14ac:dyDescent="0.3">
      <c r="B90" s="30">
        <f>IF(LoanIsGood,IF(ROW()-ROW(PaymentSchedule434[[#Headers],[PMT NO]])&gt;ScheduledNumberOfPayments,"",ROW()-ROW(PaymentSchedule434[[#Headers],[PMT NO]])),"")</f>
        <v>78</v>
      </c>
      <c r="C90" s="31">
        <f>IF(PaymentSchedule434[[#This Row],[PMT NO]]&lt;&gt;"",EOMONTH(LoanStartDate,ROW(PaymentSchedule434[[#This Row],[PMT NO]])-ROW(PaymentSchedule434[[#Headers],[PMT NO]])-2)+DAY(LoanStartDate),"")</f>
        <v>46082</v>
      </c>
      <c r="D90" s="32">
        <f>IF(PaymentSchedule434[[#This Row],[PMT NO]]&lt;&gt;"",IF(ROW()-ROW(PaymentSchedule434[[#Headers],[BEGINNING BALANCE]])=1,LoanAmount,INDEX(PaymentSchedule434[ENDING BALANCE],ROW()-ROW(PaymentSchedule434[[#Headers],[BEGINNING BALANCE]])-1)),"")</f>
        <v>3304.648938901154</v>
      </c>
      <c r="E90" s="32">
        <f>IF(PaymentSchedule434[[#This Row],[PMT NO]]&lt;&gt;"",ScheduledPayment,"")</f>
        <v>478.40822177714466</v>
      </c>
      <c r="F90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90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90" s="32">
        <f>IF(PaymentSchedule434[[#This Row],[PMT NO]]&lt;&gt;"",PaymentSchedule434[[#This Row],[TOTAL PAYMENT]]-PaymentSchedule434[[#This Row],[INTEREST]],"")</f>
        <v>467.39272531414082</v>
      </c>
      <c r="I90" s="32">
        <f>IF(PaymentSchedule434[[#This Row],[PMT NO]]&lt;&gt;"",PaymentSchedule434[[#This Row],[BEGINNING BALANCE]]*(InterestRate/PaymentsPerYear),"")</f>
        <v>11.015496463003847</v>
      </c>
      <c r="J90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2837.256213587013</v>
      </c>
      <c r="K90" s="32">
        <f>IF(PaymentSchedule434[[#This Row],[PMT NO]]&lt;&gt;"",SUM(INDEX(PaymentSchedule434[INTEREST],1,1):PaymentSchedule434[[#This Row],[INTEREST]]),"")</f>
        <v>5153.0975122043064</v>
      </c>
    </row>
    <row r="91" spans="2:11" x14ac:dyDescent="0.3">
      <c r="B91" s="30">
        <f>IF(LoanIsGood,IF(ROW()-ROW(PaymentSchedule434[[#Headers],[PMT NO]])&gt;ScheduledNumberOfPayments,"",ROW()-ROW(PaymentSchedule434[[#Headers],[PMT NO]])),"")</f>
        <v>79</v>
      </c>
      <c r="C91" s="31">
        <f>IF(PaymentSchedule434[[#This Row],[PMT NO]]&lt;&gt;"",EOMONTH(LoanStartDate,ROW(PaymentSchedule434[[#This Row],[PMT NO]])-ROW(PaymentSchedule434[[#Headers],[PMT NO]])-2)+DAY(LoanStartDate),"")</f>
        <v>46113</v>
      </c>
      <c r="D91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2837.256213587013</v>
      </c>
      <c r="E91" s="32">
        <f>IF(PaymentSchedule434[[#This Row],[PMT NO]]&lt;&gt;"",ScheduledPayment,"")</f>
        <v>478.40822177714466</v>
      </c>
      <c r="F91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91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91" s="32">
        <f>IF(PaymentSchedule434[[#This Row],[PMT NO]]&lt;&gt;"",PaymentSchedule434[[#This Row],[TOTAL PAYMENT]]-PaymentSchedule434[[#This Row],[INTEREST]],"")</f>
        <v>468.95070106518796</v>
      </c>
      <c r="I91" s="32">
        <f>IF(PaymentSchedule434[[#This Row],[PMT NO]]&lt;&gt;"",PaymentSchedule434[[#This Row],[BEGINNING BALANCE]]*(InterestRate/PaymentsPerYear),"")</f>
        <v>9.4575207119567111</v>
      </c>
      <c r="J91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2368.3055125218252</v>
      </c>
      <c r="K91" s="32">
        <f>IF(PaymentSchedule434[[#This Row],[PMT NO]]&lt;&gt;"",SUM(INDEX(PaymentSchedule434[INTEREST],1,1):PaymentSchedule434[[#This Row],[INTEREST]]),"")</f>
        <v>5162.5550329162634</v>
      </c>
    </row>
    <row r="92" spans="2:11" x14ac:dyDescent="0.3">
      <c r="B92" s="30">
        <f>IF(LoanIsGood,IF(ROW()-ROW(PaymentSchedule434[[#Headers],[PMT NO]])&gt;ScheduledNumberOfPayments,"",ROW()-ROW(PaymentSchedule434[[#Headers],[PMT NO]])),"")</f>
        <v>80</v>
      </c>
      <c r="C92" s="31">
        <f>IF(PaymentSchedule434[[#This Row],[PMT NO]]&lt;&gt;"",EOMONTH(LoanStartDate,ROW(PaymentSchedule434[[#This Row],[PMT NO]])-ROW(PaymentSchedule434[[#Headers],[PMT NO]])-2)+DAY(LoanStartDate),"")</f>
        <v>46143</v>
      </c>
      <c r="D92" s="32">
        <f>IF(PaymentSchedule434[[#This Row],[PMT NO]]&lt;&gt;"",IF(ROW()-ROW(PaymentSchedule434[[#Headers],[BEGINNING BALANCE]])=1,LoanAmount,INDEX(PaymentSchedule434[ENDING BALANCE],ROW()-ROW(PaymentSchedule434[[#Headers],[BEGINNING BALANCE]])-1)),"")</f>
        <v>2368.3055125218252</v>
      </c>
      <c r="E92" s="32">
        <f>IF(PaymentSchedule434[[#This Row],[PMT NO]]&lt;&gt;"",ScheduledPayment,"")</f>
        <v>478.40822177714466</v>
      </c>
      <c r="F92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92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92" s="32">
        <f>IF(PaymentSchedule434[[#This Row],[PMT NO]]&lt;&gt;"",PaymentSchedule434[[#This Row],[TOTAL PAYMENT]]-PaymentSchedule434[[#This Row],[INTEREST]],"")</f>
        <v>470.51387006873858</v>
      </c>
      <c r="I92" s="32">
        <f>IF(PaymentSchedule434[[#This Row],[PMT NO]]&lt;&gt;"",PaymentSchedule434[[#This Row],[BEGINNING BALANCE]]*(InterestRate/PaymentsPerYear),"")</f>
        <v>7.8943517084060844</v>
      </c>
      <c r="J92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1897.7916424530868</v>
      </c>
      <c r="K92" s="32">
        <f>IF(PaymentSchedule434[[#This Row],[PMT NO]]&lt;&gt;"",SUM(INDEX(PaymentSchedule434[INTEREST],1,1):PaymentSchedule434[[#This Row],[INTEREST]]),"")</f>
        <v>5170.4493846246696</v>
      </c>
    </row>
    <row r="93" spans="2:11" x14ac:dyDescent="0.3">
      <c r="B93" s="30">
        <f>IF(LoanIsGood,IF(ROW()-ROW(PaymentSchedule434[[#Headers],[PMT NO]])&gt;ScheduledNumberOfPayments,"",ROW()-ROW(PaymentSchedule434[[#Headers],[PMT NO]])),"")</f>
        <v>81</v>
      </c>
      <c r="C93" s="31">
        <f>IF(PaymentSchedule434[[#This Row],[PMT NO]]&lt;&gt;"",EOMONTH(LoanStartDate,ROW(PaymentSchedule434[[#This Row],[PMT NO]])-ROW(PaymentSchedule434[[#Headers],[PMT NO]])-2)+DAY(LoanStartDate),"")</f>
        <v>46174</v>
      </c>
      <c r="D93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1897.7916424530868</v>
      </c>
      <c r="E93" s="32">
        <f>IF(PaymentSchedule434[[#This Row],[PMT NO]]&lt;&gt;"",ScheduledPayment,"")</f>
        <v>478.40822177714466</v>
      </c>
      <c r="F93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93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93" s="32">
        <f>IF(PaymentSchedule434[[#This Row],[PMT NO]]&lt;&gt;"",PaymentSchedule434[[#This Row],[TOTAL PAYMENT]]-PaymentSchedule434[[#This Row],[INTEREST]],"")</f>
        <v>472.08224963563435</v>
      </c>
      <c r="I93" s="32">
        <f>IF(PaymentSchedule434[[#This Row],[PMT NO]]&lt;&gt;"",PaymentSchedule434[[#This Row],[BEGINNING BALANCE]]*(InterestRate/PaymentsPerYear),"")</f>
        <v>6.3259721415102899</v>
      </c>
      <c r="J93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1425.7093928174525</v>
      </c>
      <c r="K93" s="32">
        <f>IF(PaymentSchedule434[[#This Row],[PMT NO]]&lt;&gt;"",SUM(INDEX(PaymentSchedule434[INTEREST],1,1):PaymentSchedule434[[#This Row],[INTEREST]]),"")</f>
        <v>5176.7753567661803</v>
      </c>
    </row>
    <row r="94" spans="2:11" x14ac:dyDescent="0.3">
      <c r="B94" s="30">
        <f>IF(LoanIsGood,IF(ROW()-ROW(PaymentSchedule434[[#Headers],[PMT NO]])&gt;ScheduledNumberOfPayments,"",ROW()-ROW(PaymentSchedule434[[#Headers],[PMT NO]])),"")</f>
        <v>82</v>
      </c>
      <c r="C94" s="31">
        <f>IF(PaymentSchedule434[[#This Row],[PMT NO]]&lt;&gt;"",EOMONTH(LoanStartDate,ROW(PaymentSchedule434[[#This Row],[PMT NO]])-ROW(PaymentSchedule434[[#Headers],[PMT NO]])-2)+DAY(LoanStartDate),"")</f>
        <v>46204</v>
      </c>
      <c r="D94" s="32">
        <f>IF(PaymentSchedule434[[#This Row],[PMT NO]]&lt;&gt;"",IF(ROW()-ROW(PaymentSchedule434[[#Headers],[BEGINNING BALANCE]])=1,LoanAmount,INDEX(PaymentSchedule434[ENDING BALANCE],ROW()-ROW(PaymentSchedule434[[#Headers],[BEGINNING BALANCE]])-1)),"")</f>
        <v>1425.7093928174525</v>
      </c>
      <c r="E94" s="32">
        <f>IF(PaymentSchedule434[[#This Row],[PMT NO]]&lt;&gt;"",ScheduledPayment,"")</f>
        <v>478.40822177714466</v>
      </c>
      <c r="F94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94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94" s="32">
        <f>IF(PaymentSchedule434[[#This Row],[PMT NO]]&lt;&gt;"",PaymentSchedule434[[#This Row],[TOTAL PAYMENT]]-PaymentSchedule434[[#This Row],[INTEREST]],"")</f>
        <v>473.65585713441982</v>
      </c>
      <c r="I94" s="32">
        <f>IF(PaymentSchedule434[[#This Row],[PMT NO]]&lt;&gt;"",PaymentSchedule434[[#This Row],[BEGINNING BALANCE]]*(InterestRate/PaymentsPerYear),"")</f>
        <v>4.7523646427248414</v>
      </c>
      <c r="J94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952.05353568303258</v>
      </c>
      <c r="K94" s="32">
        <f>IF(PaymentSchedule434[[#This Row],[PMT NO]]&lt;&gt;"",SUM(INDEX(PaymentSchedule434[INTEREST],1,1):PaymentSchedule434[[#This Row],[INTEREST]]),"")</f>
        <v>5181.5277214089047</v>
      </c>
    </row>
    <row r="95" spans="2:11" x14ac:dyDescent="0.3">
      <c r="B95" s="30">
        <f>IF(LoanIsGood,IF(ROW()-ROW(PaymentSchedule434[[#Headers],[PMT NO]])&gt;ScheduledNumberOfPayments,"",ROW()-ROW(PaymentSchedule434[[#Headers],[PMT NO]])),"")</f>
        <v>83</v>
      </c>
      <c r="C95" s="31">
        <f>IF(PaymentSchedule434[[#This Row],[PMT NO]]&lt;&gt;"",EOMONTH(LoanStartDate,ROW(PaymentSchedule434[[#This Row],[PMT NO]])-ROW(PaymentSchedule434[[#Headers],[PMT NO]])-2)+DAY(LoanStartDate),"")</f>
        <v>46235</v>
      </c>
      <c r="D95" s="32">
        <f>IF(PaymentSchedule434[[#This Row],[PMT NO]]&lt;&gt;"",IF(ROW()-ROW(PaymentSchedule434[[#Headers],[BEGINNING BALANCE]])=1,LoanAmount,INDEX(PaymentSchedule434[ENDING BALANCE],ROW()-ROW(PaymentSchedule434[[#Headers],[BEGINNING BALANCE]])-1)),"")</f>
        <v>952.05353568303258</v>
      </c>
      <c r="E95" s="32">
        <f>IF(PaymentSchedule434[[#This Row],[PMT NO]]&lt;&gt;"",ScheduledPayment,"")</f>
        <v>478.40822177714466</v>
      </c>
      <c r="F95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95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478.40822177714466</v>
      </c>
      <c r="H95" s="32">
        <f>IF(PaymentSchedule434[[#This Row],[PMT NO]]&lt;&gt;"",PaymentSchedule434[[#This Row],[TOTAL PAYMENT]]-PaymentSchedule434[[#This Row],[INTEREST]],"")</f>
        <v>475.23470999153454</v>
      </c>
      <c r="I95" s="32">
        <f>IF(PaymentSchedule434[[#This Row],[PMT NO]]&lt;&gt;"",PaymentSchedule434[[#This Row],[BEGINNING BALANCE]]*(InterestRate/PaymentsPerYear),"")</f>
        <v>3.1735117856101089</v>
      </c>
      <c r="J95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476.81882569149803</v>
      </c>
      <c r="K95" s="32">
        <f>IF(PaymentSchedule434[[#This Row],[PMT NO]]&lt;&gt;"",SUM(INDEX(PaymentSchedule434[INTEREST],1,1):PaymentSchedule434[[#This Row],[INTEREST]]),"")</f>
        <v>5184.7012331945143</v>
      </c>
    </row>
    <row r="96" spans="2:11" x14ac:dyDescent="0.3">
      <c r="B96" s="30">
        <f>IF(LoanIsGood,IF(ROW()-ROW(PaymentSchedule434[[#Headers],[PMT NO]])&gt;ScheduledNumberOfPayments,"",ROW()-ROW(PaymentSchedule434[[#Headers],[PMT NO]])),"")</f>
        <v>84</v>
      </c>
      <c r="C96" s="31">
        <f>IF(PaymentSchedule434[[#This Row],[PMT NO]]&lt;&gt;"",EOMONTH(LoanStartDate,ROW(PaymentSchedule434[[#This Row],[PMT NO]])-ROW(PaymentSchedule434[[#Headers],[PMT NO]])-2)+DAY(LoanStartDate),"")</f>
        <v>46266</v>
      </c>
      <c r="D96" s="32">
        <f>IF(PaymentSchedule434[[#This Row],[PMT NO]]&lt;&gt;"",IF(ROW()-ROW(PaymentSchedule434[[#Headers],[BEGINNING BALANCE]])=1,LoanAmount,INDEX(PaymentSchedule434[ENDING BALANCE],ROW()-ROW(PaymentSchedule434[[#Headers],[BEGINNING BALANCE]])-1)),"")</f>
        <v>476.81882569149803</v>
      </c>
      <c r="E96" s="32">
        <f>IF(PaymentSchedule434[[#This Row],[PMT NO]]&lt;&gt;"",ScheduledPayment,"")</f>
        <v>478.40822177714466</v>
      </c>
      <c r="F96" s="32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>0</v>
      </c>
      <c r="G96" s="32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>476.81882569149803</v>
      </c>
      <c r="H96" s="32">
        <f>IF(PaymentSchedule434[[#This Row],[PMT NO]]&lt;&gt;"",PaymentSchedule434[[#This Row],[TOTAL PAYMENT]]-PaymentSchedule434[[#This Row],[INTEREST]],"")</f>
        <v>475.22942960585971</v>
      </c>
      <c r="I96" s="32">
        <f>IF(PaymentSchedule434[[#This Row],[PMT NO]]&lt;&gt;"",PaymentSchedule434[[#This Row],[BEGINNING BALANCE]]*(InterestRate/PaymentsPerYear),"")</f>
        <v>1.5893960856383269</v>
      </c>
      <c r="J96" s="32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>0</v>
      </c>
      <c r="K96" s="32">
        <f>IF(PaymentSchedule434[[#This Row],[PMT NO]]&lt;&gt;"",SUM(INDEX(PaymentSchedule434[INTEREST],1,1):PaymentSchedule434[[#This Row],[INTEREST]]),"")</f>
        <v>5186.2906292801526</v>
      </c>
    </row>
    <row r="97" spans="2:11" x14ac:dyDescent="0.3">
      <c r="B97" s="30" t="str">
        <f>IF(LoanIsGood,IF(ROW()-ROW(PaymentSchedule434[[#Headers],[PMT NO]])&gt;ScheduledNumberOfPayments,"",ROW()-ROW(PaymentSchedule434[[#Headers],[PMT NO]])),"")</f>
        <v/>
      </c>
      <c r="C97" s="31" t="str">
        <f>IF(PaymentSchedule434[[#This Row],[PMT NO]]&lt;&gt;"",EOMONTH(LoanStartDate,ROW(PaymentSchedule434[[#This Row],[PMT NO]])-ROW(PaymentSchedule434[[#Headers],[PMT NO]])-2)+DAY(LoanStartDate),"")</f>
        <v/>
      </c>
      <c r="D9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97" s="32" t="str">
        <f>IF(PaymentSchedule434[[#This Row],[PMT NO]]&lt;&gt;"",ScheduledPayment,"")</f>
        <v/>
      </c>
      <c r="F9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9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97" s="32" t="str">
        <f>IF(PaymentSchedule434[[#This Row],[PMT NO]]&lt;&gt;"",PaymentSchedule434[[#This Row],[TOTAL PAYMENT]]-PaymentSchedule434[[#This Row],[INTEREST]],"")</f>
        <v/>
      </c>
      <c r="I97" s="32" t="str">
        <f>IF(PaymentSchedule434[[#This Row],[PMT NO]]&lt;&gt;"",PaymentSchedule434[[#This Row],[BEGINNING BALANCE]]*(InterestRate/PaymentsPerYear),"")</f>
        <v/>
      </c>
      <c r="J9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97" s="32" t="str">
        <f>IF(PaymentSchedule434[[#This Row],[PMT NO]]&lt;&gt;"",SUM(INDEX(PaymentSchedule434[INTEREST],1,1):PaymentSchedule434[[#This Row],[INTEREST]]),"")</f>
        <v/>
      </c>
    </row>
    <row r="98" spans="2:11" x14ac:dyDescent="0.3">
      <c r="B98" s="30" t="str">
        <f>IF(LoanIsGood,IF(ROW()-ROW(PaymentSchedule434[[#Headers],[PMT NO]])&gt;ScheduledNumberOfPayments,"",ROW()-ROW(PaymentSchedule434[[#Headers],[PMT NO]])),"")</f>
        <v/>
      </c>
      <c r="C98" s="31" t="str">
        <f>IF(PaymentSchedule434[[#This Row],[PMT NO]]&lt;&gt;"",EOMONTH(LoanStartDate,ROW(PaymentSchedule434[[#This Row],[PMT NO]])-ROW(PaymentSchedule434[[#Headers],[PMT NO]])-2)+DAY(LoanStartDate),"")</f>
        <v/>
      </c>
      <c r="D9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98" s="32" t="str">
        <f>IF(PaymentSchedule434[[#This Row],[PMT NO]]&lt;&gt;"",ScheduledPayment,"")</f>
        <v/>
      </c>
      <c r="F9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9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98" s="32" t="str">
        <f>IF(PaymentSchedule434[[#This Row],[PMT NO]]&lt;&gt;"",PaymentSchedule434[[#This Row],[TOTAL PAYMENT]]-PaymentSchedule434[[#This Row],[INTEREST]],"")</f>
        <v/>
      </c>
      <c r="I98" s="32" t="str">
        <f>IF(PaymentSchedule434[[#This Row],[PMT NO]]&lt;&gt;"",PaymentSchedule434[[#This Row],[BEGINNING BALANCE]]*(InterestRate/PaymentsPerYear),"")</f>
        <v/>
      </c>
      <c r="J9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98" s="32" t="str">
        <f>IF(PaymentSchedule434[[#This Row],[PMT NO]]&lt;&gt;"",SUM(INDEX(PaymentSchedule434[INTEREST],1,1):PaymentSchedule434[[#This Row],[INTEREST]]),"")</f>
        <v/>
      </c>
    </row>
    <row r="99" spans="2:11" x14ac:dyDescent="0.3">
      <c r="B99" s="30" t="str">
        <f>IF(LoanIsGood,IF(ROW()-ROW(PaymentSchedule434[[#Headers],[PMT NO]])&gt;ScheduledNumberOfPayments,"",ROW()-ROW(PaymentSchedule434[[#Headers],[PMT NO]])),"")</f>
        <v/>
      </c>
      <c r="C99" s="31" t="str">
        <f>IF(PaymentSchedule434[[#This Row],[PMT NO]]&lt;&gt;"",EOMONTH(LoanStartDate,ROW(PaymentSchedule434[[#This Row],[PMT NO]])-ROW(PaymentSchedule434[[#Headers],[PMT NO]])-2)+DAY(LoanStartDate),"")</f>
        <v/>
      </c>
      <c r="D9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99" s="32" t="str">
        <f>IF(PaymentSchedule434[[#This Row],[PMT NO]]&lt;&gt;"",ScheduledPayment,"")</f>
        <v/>
      </c>
      <c r="F9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9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99" s="32" t="str">
        <f>IF(PaymentSchedule434[[#This Row],[PMT NO]]&lt;&gt;"",PaymentSchedule434[[#This Row],[TOTAL PAYMENT]]-PaymentSchedule434[[#This Row],[INTEREST]],"")</f>
        <v/>
      </c>
      <c r="I99" s="32" t="str">
        <f>IF(PaymentSchedule434[[#This Row],[PMT NO]]&lt;&gt;"",PaymentSchedule434[[#This Row],[BEGINNING BALANCE]]*(InterestRate/PaymentsPerYear),"")</f>
        <v/>
      </c>
      <c r="J9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99" s="32" t="str">
        <f>IF(PaymentSchedule434[[#This Row],[PMT NO]]&lt;&gt;"",SUM(INDEX(PaymentSchedule434[INTEREST],1,1):PaymentSchedule434[[#This Row],[INTEREST]]),"")</f>
        <v/>
      </c>
    </row>
    <row r="100" spans="2:11" x14ac:dyDescent="0.3">
      <c r="B100" s="30" t="str">
        <f>IF(LoanIsGood,IF(ROW()-ROW(PaymentSchedule434[[#Headers],[PMT NO]])&gt;ScheduledNumberOfPayments,"",ROW()-ROW(PaymentSchedule434[[#Headers],[PMT NO]])),"")</f>
        <v/>
      </c>
      <c r="C100" s="31" t="str">
        <f>IF(PaymentSchedule434[[#This Row],[PMT NO]]&lt;&gt;"",EOMONTH(LoanStartDate,ROW(PaymentSchedule434[[#This Row],[PMT NO]])-ROW(PaymentSchedule434[[#Headers],[PMT NO]])-2)+DAY(LoanStartDate),"")</f>
        <v/>
      </c>
      <c r="D10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00" s="32" t="str">
        <f>IF(PaymentSchedule434[[#This Row],[PMT NO]]&lt;&gt;"",ScheduledPayment,"")</f>
        <v/>
      </c>
      <c r="F10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0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00" s="32" t="str">
        <f>IF(PaymentSchedule434[[#This Row],[PMT NO]]&lt;&gt;"",PaymentSchedule434[[#This Row],[TOTAL PAYMENT]]-PaymentSchedule434[[#This Row],[INTEREST]],"")</f>
        <v/>
      </c>
      <c r="I100" s="32" t="str">
        <f>IF(PaymentSchedule434[[#This Row],[PMT NO]]&lt;&gt;"",PaymentSchedule434[[#This Row],[BEGINNING BALANCE]]*(InterestRate/PaymentsPerYear),"")</f>
        <v/>
      </c>
      <c r="J10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00" s="32" t="str">
        <f>IF(PaymentSchedule434[[#This Row],[PMT NO]]&lt;&gt;"",SUM(INDEX(PaymentSchedule434[INTEREST],1,1):PaymentSchedule434[[#This Row],[INTEREST]]),"")</f>
        <v/>
      </c>
    </row>
    <row r="101" spans="2:11" x14ac:dyDescent="0.3">
      <c r="B101" s="30" t="str">
        <f>IF(LoanIsGood,IF(ROW()-ROW(PaymentSchedule434[[#Headers],[PMT NO]])&gt;ScheduledNumberOfPayments,"",ROW()-ROW(PaymentSchedule434[[#Headers],[PMT NO]])),"")</f>
        <v/>
      </c>
      <c r="C101" s="31" t="str">
        <f>IF(PaymentSchedule434[[#This Row],[PMT NO]]&lt;&gt;"",EOMONTH(LoanStartDate,ROW(PaymentSchedule434[[#This Row],[PMT NO]])-ROW(PaymentSchedule434[[#Headers],[PMT NO]])-2)+DAY(LoanStartDate),"")</f>
        <v/>
      </c>
      <c r="D10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01" s="32" t="str">
        <f>IF(PaymentSchedule434[[#This Row],[PMT NO]]&lt;&gt;"",ScheduledPayment,"")</f>
        <v/>
      </c>
      <c r="F10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0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01" s="32" t="str">
        <f>IF(PaymentSchedule434[[#This Row],[PMT NO]]&lt;&gt;"",PaymentSchedule434[[#This Row],[TOTAL PAYMENT]]-PaymentSchedule434[[#This Row],[INTEREST]],"")</f>
        <v/>
      </c>
      <c r="I101" s="32" t="str">
        <f>IF(PaymentSchedule434[[#This Row],[PMT NO]]&lt;&gt;"",PaymentSchedule434[[#This Row],[BEGINNING BALANCE]]*(InterestRate/PaymentsPerYear),"")</f>
        <v/>
      </c>
      <c r="J10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01" s="32" t="str">
        <f>IF(PaymentSchedule434[[#This Row],[PMT NO]]&lt;&gt;"",SUM(INDEX(PaymentSchedule434[INTEREST],1,1):PaymentSchedule434[[#This Row],[INTEREST]]),"")</f>
        <v/>
      </c>
    </row>
    <row r="102" spans="2:11" x14ac:dyDescent="0.3">
      <c r="B102" s="30" t="str">
        <f>IF(LoanIsGood,IF(ROW()-ROW(PaymentSchedule434[[#Headers],[PMT NO]])&gt;ScheduledNumberOfPayments,"",ROW()-ROW(PaymentSchedule434[[#Headers],[PMT NO]])),"")</f>
        <v/>
      </c>
      <c r="C102" s="31" t="str">
        <f>IF(PaymentSchedule434[[#This Row],[PMT NO]]&lt;&gt;"",EOMONTH(LoanStartDate,ROW(PaymentSchedule434[[#This Row],[PMT NO]])-ROW(PaymentSchedule434[[#Headers],[PMT NO]])-2)+DAY(LoanStartDate),"")</f>
        <v/>
      </c>
      <c r="D10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02" s="32" t="str">
        <f>IF(PaymentSchedule434[[#This Row],[PMT NO]]&lt;&gt;"",ScheduledPayment,"")</f>
        <v/>
      </c>
      <c r="F10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0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02" s="32" t="str">
        <f>IF(PaymentSchedule434[[#This Row],[PMT NO]]&lt;&gt;"",PaymentSchedule434[[#This Row],[TOTAL PAYMENT]]-PaymentSchedule434[[#This Row],[INTEREST]],"")</f>
        <v/>
      </c>
      <c r="I102" s="32" t="str">
        <f>IF(PaymentSchedule434[[#This Row],[PMT NO]]&lt;&gt;"",PaymentSchedule434[[#This Row],[BEGINNING BALANCE]]*(InterestRate/PaymentsPerYear),"")</f>
        <v/>
      </c>
      <c r="J10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02" s="32" t="str">
        <f>IF(PaymentSchedule434[[#This Row],[PMT NO]]&lt;&gt;"",SUM(INDEX(PaymentSchedule434[INTEREST],1,1):PaymentSchedule434[[#This Row],[INTEREST]]),"")</f>
        <v/>
      </c>
    </row>
    <row r="103" spans="2:11" x14ac:dyDescent="0.3">
      <c r="B103" s="30" t="str">
        <f>IF(LoanIsGood,IF(ROW()-ROW(PaymentSchedule434[[#Headers],[PMT NO]])&gt;ScheduledNumberOfPayments,"",ROW()-ROW(PaymentSchedule434[[#Headers],[PMT NO]])),"")</f>
        <v/>
      </c>
      <c r="C103" s="31" t="str">
        <f>IF(PaymentSchedule434[[#This Row],[PMT NO]]&lt;&gt;"",EOMONTH(LoanStartDate,ROW(PaymentSchedule434[[#This Row],[PMT NO]])-ROW(PaymentSchedule434[[#Headers],[PMT NO]])-2)+DAY(LoanStartDate),"")</f>
        <v/>
      </c>
      <c r="D10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03" s="32" t="str">
        <f>IF(PaymentSchedule434[[#This Row],[PMT NO]]&lt;&gt;"",ScheduledPayment,"")</f>
        <v/>
      </c>
      <c r="F10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0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03" s="32" t="str">
        <f>IF(PaymentSchedule434[[#This Row],[PMT NO]]&lt;&gt;"",PaymentSchedule434[[#This Row],[TOTAL PAYMENT]]-PaymentSchedule434[[#This Row],[INTEREST]],"")</f>
        <v/>
      </c>
      <c r="I103" s="32" t="str">
        <f>IF(PaymentSchedule434[[#This Row],[PMT NO]]&lt;&gt;"",PaymentSchedule434[[#This Row],[BEGINNING BALANCE]]*(InterestRate/PaymentsPerYear),"")</f>
        <v/>
      </c>
      <c r="J10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03" s="32" t="str">
        <f>IF(PaymentSchedule434[[#This Row],[PMT NO]]&lt;&gt;"",SUM(INDEX(PaymentSchedule434[INTEREST],1,1):PaymentSchedule434[[#This Row],[INTEREST]]),"")</f>
        <v/>
      </c>
    </row>
    <row r="104" spans="2:11" x14ac:dyDescent="0.3">
      <c r="B104" s="30" t="str">
        <f>IF(LoanIsGood,IF(ROW()-ROW(PaymentSchedule434[[#Headers],[PMT NO]])&gt;ScheduledNumberOfPayments,"",ROW()-ROW(PaymentSchedule434[[#Headers],[PMT NO]])),"")</f>
        <v/>
      </c>
      <c r="C104" s="31" t="str">
        <f>IF(PaymentSchedule434[[#This Row],[PMT NO]]&lt;&gt;"",EOMONTH(LoanStartDate,ROW(PaymentSchedule434[[#This Row],[PMT NO]])-ROW(PaymentSchedule434[[#Headers],[PMT NO]])-2)+DAY(LoanStartDate),"")</f>
        <v/>
      </c>
      <c r="D10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04" s="32" t="str">
        <f>IF(PaymentSchedule434[[#This Row],[PMT NO]]&lt;&gt;"",ScheduledPayment,"")</f>
        <v/>
      </c>
      <c r="F10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0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04" s="32" t="str">
        <f>IF(PaymentSchedule434[[#This Row],[PMT NO]]&lt;&gt;"",PaymentSchedule434[[#This Row],[TOTAL PAYMENT]]-PaymentSchedule434[[#This Row],[INTEREST]],"")</f>
        <v/>
      </c>
      <c r="I104" s="32" t="str">
        <f>IF(PaymentSchedule434[[#This Row],[PMT NO]]&lt;&gt;"",PaymentSchedule434[[#This Row],[BEGINNING BALANCE]]*(InterestRate/PaymentsPerYear),"")</f>
        <v/>
      </c>
      <c r="J10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04" s="32" t="str">
        <f>IF(PaymentSchedule434[[#This Row],[PMT NO]]&lt;&gt;"",SUM(INDEX(PaymentSchedule434[INTEREST],1,1):PaymentSchedule434[[#This Row],[INTEREST]]),"")</f>
        <v/>
      </c>
    </row>
    <row r="105" spans="2:11" x14ac:dyDescent="0.3">
      <c r="B105" s="30" t="str">
        <f>IF(LoanIsGood,IF(ROW()-ROW(PaymentSchedule434[[#Headers],[PMT NO]])&gt;ScheduledNumberOfPayments,"",ROW()-ROW(PaymentSchedule434[[#Headers],[PMT NO]])),"")</f>
        <v/>
      </c>
      <c r="C105" s="31" t="str">
        <f>IF(PaymentSchedule434[[#This Row],[PMT NO]]&lt;&gt;"",EOMONTH(LoanStartDate,ROW(PaymentSchedule434[[#This Row],[PMT NO]])-ROW(PaymentSchedule434[[#Headers],[PMT NO]])-2)+DAY(LoanStartDate),"")</f>
        <v/>
      </c>
      <c r="D10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05" s="32" t="str">
        <f>IF(PaymentSchedule434[[#This Row],[PMT NO]]&lt;&gt;"",ScheduledPayment,"")</f>
        <v/>
      </c>
      <c r="F10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0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05" s="32" t="str">
        <f>IF(PaymentSchedule434[[#This Row],[PMT NO]]&lt;&gt;"",PaymentSchedule434[[#This Row],[TOTAL PAYMENT]]-PaymentSchedule434[[#This Row],[INTEREST]],"")</f>
        <v/>
      </c>
      <c r="I105" s="32" t="str">
        <f>IF(PaymentSchedule434[[#This Row],[PMT NO]]&lt;&gt;"",PaymentSchedule434[[#This Row],[BEGINNING BALANCE]]*(InterestRate/PaymentsPerYear),"")</f>
        <v/>
      </c>
      <c r="J10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05" s="32" t="str">
        <f>IF(PaymentSchedule434[[#This Row],[PMT NO]]&lt;&gt;"",SUM(INDEX(PaymentSchedule434[INTEREST],1,1):PaymentSchedule434[[#This Row],[INTEREST]]),"")</f>
        <v/>
      </c>
    </row>
    <row r="106" spans="2:11" x14ac:dyDescent="0.3">
      <c r="B106" s="30" t="str">
        <f>IF(LoanIsGood,IF(ROW()-ROW(PaymentSchedule434[[#Headers],[PMT NO]])&gt;ScheduledNumberOfPayments,"",ROW()-ROW(PaymentSchedule434[[#Headers],[PMT NO]])),"")</f>
        <v/>
      </c>
      <c r="C106" s="31" t="str">
        <f>IF(PaymentSchedule434[[#This Row],[PMT NO]]&lt;&gt;"",EOMONTH(LoanStartDate,ROW(PaymentSchedule434[[#This Row],[PMT NO]])-ROW(PaymentSchedule434[[#Headers],[PMT NO]])-2)+DAY(LoanStartDate),"")</f>
        <v/>
      </c>
      <c r="D10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06" s="32" t="str">
        <f>IF(PaymentSchedule434[[#This Row],[PMT NO]]&lt;&gt;"",ScheduledPayment,"")</f>
        <v/>
      </c>
      <c r="F10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0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06" s="32" t="str">
        <f>IF(PaymentSchedule434[[#This Row],[PMT NO]]&lt;&gt;"",PaymentSchedule434[[#This Row],[TOTAL PAYMENT]]-PaymentSchedule434[[#This Row],[INTEREST]],"")</f>
        <v/>
      </c>
      <c r="I106" s="32" t="str">
        <f>IF(PaymentSchedule434[[#This Row],[PMT NO]]&lt;&gt;"",PaymentSchedule434[[#This Row],[BEGINNING BALANCE]]*(InterestRate/PaymentsPerYear),"")</f>
        <v/>
      </c>
      <c r="J10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06" s="32" t="str">
        <f>IF(PaymentSchedule434[[#This Row],[PMT NO]]&lt;&gt;"",SUM(INDEX(PaymentSchedule434[INTEREST],1,1):PaymentSchedule434[[#This Row],[INTEREST]]),"")</f>
        <v/>
      </c>
    </row>
    <row r="107" spans="2:11" x14ac:dyDescent="0.3">
      <c r="B107" s="30" t="str">
        <f>IF(LoanIsGood,IF(ROW()-ROW(PaymentSchedule434[[#Headers],[PMT NO]])&gt;ScheduledNumberOfPayments,"",ROW()-ROW(PaymentSchedule434[[#Headers],[PMT NO]])),"")</f>
        <v/>
      </c>
      <c r="C107" s="31" t="str">
        <f>IF(PaymentSchedule434[[#This Row],[PMT NO]]&lt;&gt;"",EOMONTH(LoanStartDate,ROW(PaymentSchedule434[[#This Row],[PMT NO]])-ROW(PaymentSchedule434[[#Headers],[PMT NO]])-2)+DAY(LoanStartDate),"")</f>
        <v/>
      </c>
      <c r="D10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07" s="32" t="str">
        <f>IF(PaymentSchedule434[[#This Row],[PMT NO]]&lt;&gt;"",ScheduledPayment,"")</f>
        <v/>
      </c>
      <c r="F10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0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07" s="32" t="str">
        <f>IF(PaymentSchedule434[[#This Row],[PMT NO]]&lt;&gt;"",PaymentSchedule434[[#This Row],[TOTAL PAYMENT]]-PaymentSchedule434[[#This Row],[INTEREST]],"")</f>
        <v/>
      </c>
      <c r="I107" s="32" t="str">
        <f>IF(PaymentSchedule434[[#This Row],[PMT NO]]&lt;&gt;"",PaymentSchedule434[[#This Row],[BEGINNING BALANCE]]*(InterestRate/PaymentsPerYear),"")</f>
        <v/>
      </c>
      <c r="J10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07" s="32" t="str">
        <f>IF(PaymentSchedule434[[#This Row],[PMT NO]]&lt;&gt;"",SUM(INDEX(PaymentSchedule434[INTEREST],1,1):PaymentSchedule434[[#This Row],[INTEREST]]),"")</f>
        <v/>
      </c>
    </row>
    <row r="108" spans="2:11" x14ac:dyDescent="0.3">
      <c r="B108" s="30" t="str">
        <f>IF(LoanIsGood,IF(ROW()-ROW(PaymentSchedule434[[#Headers],[PMT NO]])&gt;ScheduledNumberOfPayments,"",ROW()-ROW(PaymentSchedule434[[#Headers],[PMT NO]])),"")</f>
        <v/>
      </c>
      <c r="C108" s="31" t="str">
        <f>IF(PaymentSchedule434[[#This Row],[PMT NO]]&lt;&gt;"",EOMONTH(LoanStartDate,ROW(PaymentSchedule434[[#This Row],[PMT NO]])-ROW(PaymentSchedule434[[#Headers],[PMT NO]])-2)+DAY(LoanStartDate),"")</f>
        <v/>
      </c>
      <c r="D10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08" s="32" t="str">
        <f>IF(PaymentSchedule434[[#This Row],[PMT NO]]&lt;&gt;"",ScheduledPayment,"")</f>
        <v/>
      </c>
      <c r="F10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0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08" s="32" t="str">
        <f>IF(PaymentSchedule434[[#This Row],[PMT NO]]&lt;&gt;"",PaymentSchedule434[[#This Row],[TOTAL PAYMENT]]-PaymentSchedule434[[#This Row],[INTEREST]],"")</f>
        <v/>
      </c>
      <c r="I108" s="32" t="str">
        <f>IF(PaymentSchedule434[[#This Row],[PMT NO]]&lt;&gt;"",PaymentSchedule434[[#This Row],[BEGINNING BALANCE]]*(InterestRate/PaymentsPerYear),"")</f>
        <v/>
      </c>
      <c r="J10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08" s="32" t="str">
        <f>IF(PaymentSchedule434[[#This Row],[PMT NO]]&lt;&gt;"",SUM(INDEX(PaymentSchedule434[INTEREST],1,1):PaymentSchedule434[[#This Row],[INTEREST]]),"")</f>
        <v/>
      </c>
    </row>
    <row r="109" spans="2:11" x14ac:dyDescent="0.3">
      <c r="B109" s="30" t="str">
        <f>IF(LoanIsGood,IF(ROW()-ROW(PaymentSchedule434[[#Headers],[PMT NO]])&gt;ScheduledNumberOfPayments,"",ROW()-ROW(PaymentSchedule434[[#Headers],[PMT NO]])),"")</f>
        <v/>
      </c>
      <c r="C109" s="31" t="str">
        <f>IF(PaymentSchedule434[[#This Row],[PMT NO]]&lt;&gt;"",EOMONTH(LoanStartDate,ROW(PaymentSchedule434[[#This Row],[PMT NO]])-ROW(PaymentSchedule434[[#Headers],[PMT NO]])-2)+DAY(LoanStartDate),"")</f>
        <v/>
      </c>
      <c r="D10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09" s="32" t="str">
        <f>IF(PaymentSchedule434[[#This Row],[PMT NO]]&lt;&gt;"",ScheduledPayment,"")</f>
        <v/>
      </c>
      <c r="F10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0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09" s="32" t="str">
        <f>IF(PaymentSchedule434[[#This Row],[PMT NO]]&lt;&gt;"",PaymentSchedule434[[#This Row],[TOTAL PAYMENT]]-PaymentSchedule434[[#This Row],[INTEREST]],"")</f>
        <v/>
      </c>
      <c r="I109" s="32" t="str">
        <f>IF(PaymentSchedule434[[#This Row],[PMT NO]]&lt;&gt;"",PaymentSchedule434[[#This Row],[BEGINNING BALANCE]]*(InterestRate/PaymentsPerYear),"")</f>
        <v/>
      </c>
      <c r="J10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09" s="32" t="str">
        <f>IF(PaymentSchedule434[[#This Row],[PMT NO]]&lt;&gt;"",SUM(INDEX(PaymentSchedule434[INTEREST],1,1):PaymentSchedule434[[#This Row],[INTEREST]]),"")</f>
        <v/>
      </c>
    </row>
    <row r="110" spans="2:11" x14ac:dyDescent="0.3">
      <c r="B110" s="30" t="str">
        <f>IF(LoanIsGood,IF(ROW()-ROW(PaymentSchedule434[[#Headers],[PMT NO]])&gt;ScheduledNumberOfPayments,"",ROW()-ROW(PaymentSchedule434[[#Headers],[PMT NO]])),"")</f>
        <v/>
      </c>
      <c r="C110" s="31" t="str">
        <f>IF(PaymentSchedule434[[#This Row],[PMT NO]]&lt;&gt;"",EOMONTH(LoanStartDate,ROW(PaymentSchedule434[[#This Row],[PMT NO]])-ROW(PaymentSchedule434[[#Headers],[PMT NO]])-2)+DAY(LoanStartDate),"")</f>
        <v/>
      </c>
      <c r="D11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10" s="32" t="str">
        <f>IF(PaymentSchedule434[[#This Row],[PMT NO]]&lt;&gt;"",ScheduledPayment,"")</f>
        <v/>
      </c>
      <c r="F11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1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10" s="32" t="str">
        <f>IF(PaymentSchedule434[[#This Row],[PMT NO]]&lt;&gt;"",PaymentSchedule434[[#This Row],[TOTAL PAYMENT]]-PaymentSchedule434[[#This Row],[INTEREST]],"")</f>
        <v/>
      </c>
      <c r="I110" s="32" t="str">
        <f>IF(PaymentSchedule434[[#This Row],[PMT NO]]&lt;&gt;"",PaymentSchedule434[[#This Row],[BEGINNING BALANCE]]*(InterestRate/PaymentsPerYear),"")</f>
        <v/>
      </c>
      <c r="J11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10" s="32" t="str">
        <f>IF(PaymentSchedule434[[#This Row],[PMT NO]]&lt;&gt;"",SUM(INDEX(PaymentSchedule434[INTEREST],1,1):PaymentSchedule434[[#This Row],[INTEREST]]),"")</f>
        <v/>
      </c>
    </row>
    <row r="111" spans="2:11" x14ac:dyDescent="0.3">
      <c r="B111" s="30" t="str">
        <f>IF(LoanIsGood,IF(ROW()-ROW(PaymentSchedule434[[#Headers],[PMT NO]])&gt;ScheduledNumberOfPayments,"",ROW()-ROW(PaymentSchedule434[[#Headers],[PMT NO]])),"")</f>
        <v/>
      </c>
      <c r="C111" s="31" t="str">
        <f>IF(PaymentSchedule434[[#This Row],[PMT NO]]&lt;&gt;"",EOMONTH(LoanStartDate,ROW(PaymentSchedule434[[#This Row],[PMT NO]])-ROW(PaymentSchedule434[[#Headers],[PMT NO]])-2)+DAY(LoanStartDate),"")</f>
        <v/>
      </c>
      <c r="D11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11" s="32" t="str">
        <f>IF(PaymentSchedule434[[#This Row],[PMT NO]]&lt;&gt;"",ScheduledPayment,"")</f>
        <v/>
      </c>
      <c r="F11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1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11" s="32" t="str">
        <f>IF(PaymentSchedule434[[#This Row],[PMT NO]]&lt;&gt;"",PaymentSchedule434[[#This Row],[TOTAL PAYMENT]]-PaymentSchedule434[[#This Row],[INTEREST]],"")</f>
        <v/>
      </c>
      <c r="I111" s="32" t="str">
        <f>IF(PaymentSchedule434[[#This Row],[PMT NO]]&lt;&gt;"",PaymentSchedule434[[#This Row],[BEGINNING BALANCE]]*(InterestRate/PaymentsPerYear),"")</f>
        <v/>
      </c>
      <c r="J11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11" s="32" t="str">
        <f>IF(PaymentSchedule434[[#This Row],[PMT NO]]&lt;&gt;"",SUM(INDEX(PaymentSchedule434[INTEREST],1,1):PaymentSchedule434[[#This Row],[INTEREST]]),"")</f>
        <v/>
      </c>
    </row>
    <row r="112" spans="2:11" x14ac:dyDescent="0.3">
      <c r="B112" s="30" t="str">
        <f>IF(LoanIsGood,IF(ROW()-ROW(PaymentSchedule434[[#Headers],[PMT NO]])&gt;ScheduledNumberOfPayments,"",ROW()-ROW(PaymentSchedule434[[#Headers],[PMT NO]])),"")</f>
        <v/>
      </c>
      <c r="C112" s="31" t="str">
        <f>IF(PaymentSchedule434[[#This Row],[PMT NO]]&lt;&gt;"",EOMONTH(LoanStartDate,ROW(PaymentSchedule434[[#This Row],[PMT NO]])-ROW(PaymentSchedule434[[#Headers],[PMT NO]])-2)+DAY(LoanStartDate),"")</f>
        <v/>
      </c>
      <c r="D11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12" s="32" t="str">
        <f>IF(PaymentSchedule434[[#This Row],[PMT NO]]&lt;&gt;"",ScheduledPayment,"")</f>
        <v/>
      </c>
      <c r="F11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1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12" s="32" t="str">
        <f>IF(PaymentSchedule434[[#This Row],[PMT NO]]&lt;&gt;"",PaymentSchedule434[[#This Row],[TOTAL PAYMENT]]-PaymentSchedule434[[#This Row],[INTEREST]],"")</f>
        <v/>
      </c>
      <c r="I112" s="32" t="str">
        <f>IF(PaymentSchedule434[[#This Row],[PMT NO]]&lt;&gt;"",PaymentSchedule434[[#This Row],[BEGINNING BALANCE]]*(InterestRate/PaymentsPerYear),"")</f>
        <v/>
      </c>
      <c r="J11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12" s="32" t="str">
        <f>IF(PaymentSchedule434[[#This Row],[PMT NO]]&lt;&gt;"",SUM(INDEX(PaymentSchedule434[INTEREST],1,1):PaymentSchedule434[[#This Row],[INTEREST]]),"")</f>
        <v/>
      </c>
    </row>
    <row r="113" spans="2:11" x14ac:dyDescent="0.3">
      <c r="B113" s="30" t="str">
        <f>IF(LoanIsGood,IF(ROW()-ROW(PaymentSchedule434[[#Headers],[PMT NO]])&gt;ScheduledNumberOfPayments,"",ROW()-ROW(PaymentSchedule434[[#Headers],[PMT NO]])),"")</f>
        <v/>
      </c>
      <c r="C113" s="31" t="str">
        <f>IF(PaymentSchedule434[[#This Row],[PMT NO]]&lt;&gt;"",EOMONTH(LoanStartDate,ROW(PaymentSchedule434[[#This Row],[PMT NO]])-ROW(PaymentSchedule434[[#Headers],[PMT NO]])-2)+DAY(LoanStartDate),"")</f>
        <v/>
      </c>
      <c r="D11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13" s="32" t="str">
        <f>IF(PaymentSchedule434[[#This Row],[PMT NO]]&lt;&gt;"",ScheduledPayment,"")</f>
        <v/>
      </c>
      <c r="F11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1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13" s="32" t="str">
        <f>IF(PaymentSchedule434[[#This Row],[PMT NO]]&lt;&gt;"",PaymentSchedule434[[#This Row],[TOTAL PAYMENT]]-PaymentSchedule434[[#This Row],[INTEREST]],"")</f>
        <v/>
      </c>
      <c r="I113" s="32" t="str">
        <f>IF(PaymentSchedule434[[#This Row],[PMT NO]]&lt;&gt;"",PaymentSchedule434[[#This Row],[BEGINNING BALANCE]]*(InterestRate/PaymentsPerYear),"")</f>
        <v/>
      </c>
      <c r="J11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13" s="32" t="str">
        <f>IF(PaymentSchedule434[[#This Row],[PMT NO]]&lt;&gt;"",SUM(INDEX(PaymentSchedule434[INTEREST],1,1):PaymentSchedule434[[#This Row],[INTEREST]]),"")</f>
        <v/>
      </c>
    </row>
    <row r="114" spans="2:11" x14ac:dyDescent="0.3">
      <c r="B114" s="30" t="str">
        <f>IF(LoanIsGood,IF(ROW()-ROW(PaymentSchedule434[[#Headers],[PMT NO]])&gt;ScheduledNumberOfPayments,"",ROW()-ROW(PaymentSchedule434[[#Headers],[PMT NO]])),"")</f>
        <v/>
      </c>
      <c r="C114" s="31" t="str">
        <f>IF(PaymentSchedule434[[#This Row],[PMT NO]]&lt;&gt;"",EOMONTH(LoanStartDate,ROW(PaymentSchedule434[[#This Row],[PMT NO]])-ROW(PaymentSchedule434[[#Headers],[PMT NO]])-2)+DAY(LoanStartDate),"")</f>
        <v/>
      </c>
      <c r="D11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14" s="32" t="str">
        <f>IF(PaymentSchedule434[[#This Row],[PMT NO]]&lt;&gt;"",ScheduledPayment,"")</f>
        <v/>
      </c>
      <c r="F11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1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14" s="32" t="str">
        <f>IF(PaymentSchedule434[[#This Row],[PMT NO]]&lt;&gt;"",PaymentSchedule434[[#This Row],[TOTAL PAYMENT]]-PaymentSchedule434[[#This Row],[INTEREST]],"")</f>
        <v/>
      </c>
      <c r="I114" s="32" t="str">
        <f>IF(PaymentSchedule434[[#This Row],[PMT NO]]&lt;&gt;"",PaymentSchedule434[[#This Row],[BEGINNING BALANCE]]*(InterestRate/PaymentsPerYear),"")</f>
        <v/>
      </c>
      <c r="J11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14" s="32" t="str">
        <f>IF(PaymentSchedule434[[#This Row],[PMT NO]]&lt;&gt;"",SUM(INDEX(PaymentSchedule434[INTEREST],1,1):PaymentSchedule434[[#This Row],[INTEREST]]),"")</f>
        <v/>
      </c>
    </row>
    <row r="115" spans="2:11" x14ac:dyDescent="0.3">
      <c r="B115" s="30" t="str">
        <f>IF(LoanIsGood,IF(ROW()-ROW(PaymentSchedule434[[#Headers],[PMT NO]])&gt;ScheduledNumberOfPayments,"",ROW()-ROW(PaymentSchedule434[[#Headers],[PMT NO]])),"")</f>
        <v/>
      </c>
      <c r="C115" s="31" t="str">
        <f>IF(PaymentSchedule434[[#This Row],[PMT NO]]&lt;&gt;"",EOMONTH(LoanStartDate,ROW(PaymentSchedule434[[#This Row],[PMT NO]])-ROW(PaymentSchedule434[[#Headers],[PMT NO]])-2)+DAY(LoanStartDate),"")</f>
        <v/>
      </c>
      <c r="D11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15" s="32" t="str">
        <f>IF(PaymentSchedule434[[#This Row],[PMT NO]]&lt;&gt;"",ScheduledPayment,"")</f>
        <v/>
      </c>
      <c r="F11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1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15" s="32" t="str">
        <f>IF(PaymentSchedule434[[#This Row],[PMT NO]]&lt;&gt;"",PaymentSchedule434[[#This Row],[TOTAL PAYMENT]]-PaymentSchedule434[[#This Row],[INTEREST]],"")</f>
        <v/>
      </c>
      <c r="I115" s="32" t="str">
        <f>IF(PaymentSchedule434[[#This Row],[PMT NO]]&lt;&gt;"",PaymentSchedule434[[#This Row],[BEGINNING BALANCE]]*(InterestRate/PaymentsPerYear),"")</f>
        <v/>
      </c>
      <c r="J11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15" s="32" t="str">
        <f>IF(PaymentSchedule434[[#This Row],[PMT NO]]&lt;&gt;"",SUM(INDEX(PaymentSchedule434[INTEREST],1,1):PaymentSchedule434[[#This Row],[INTEREST]]),"")</f>
        <v/>
      </c>
    </row>
    <row r="116" spans="2:11" x14ac:dyDescent="0.3">
      <c r="B116" s="30" t="str">
        <f>IF(LoanIsGood,IF(ROW()-ROW(PaymentSchedule434[[#Headers],[PMT NO]])&gt;ScheduledNumberOfPayments,"",ROW()-ROW(PaymentSchedule434[[#Headers],[PMT NO]])),"")</f>
        <v/>
      </c>
      <c r="C116" s="31" t="str">
        <f>IF(PaymentSchedule434[[#This Row],[PMT NO]]&lt;&gt;"",EOMONTH(LoanStartDate,ROW(PaymentSchedule434[[#This Row],[PMT NO]])-ROW(PaymentSchedule434[[#Headers],[PMT NO]])-2)+DAY(LoanStartDate),"")</f>
        <v/>
      </c>
      <c r="D11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16" s="32" t="str">
        <f>IF(PaymentSchedule434[[#This Row],[PMT NO]]&lt;&gt;"",ScheduledPayment,"")</f>
        <v/>
      </c>
      <c r="F11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1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16" s="32" t="str">
        <f>IF(PaymentSchedule434[[#This Row],[PMT NO]]&lt;&gt;"",PaymentSchedule434[[#This Row],[TOTAL PAYMENT]]-PaymentSchedule434[[#This Row],[INTEREST]],"")</f>
        <v/>
      </c>
      <c r="I116" s="32" t="str">
        <f>IF(PaymentSchedule434[[#This Row],[PMT NO]]&lt;&gt;"",PaymentSchedule434[[#This Row],[BEGINNING BALANCE]]*(InterestRate/PaymentsPerYear),"")</f>
        <v/>
      </c>
      <c r="J11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16" s="32" t="str">
        <f>IF(PaymentSchedule434[[#This Row],[PMT NO]]&lt;&gt;"",SUM(INDEX(PaymentSchedule434[INTEREST],1,1):PaymentSchedule434[[#This Row],[INTEREST]]),"")</f>
        <v/>
      </c>
    </row>
    <row r="117" spans="2:11" x14ac:dyDescent="0.3">
      <c r="B117" s="30" t="str">
        <f>IF(LoanIsGood,IF(ROW()-ROW(PaymentSchedule434[[#Headers],[PMT NO]])&gt;ScheduledNumberOfPayments,"",ROW()-ROW(PaymentSchedule434[[#Headers],[PMT NO]])),"")</f>
        <v/>
      </c>
      <c r="C117" s="31" t="str">
        <f>IF(PaymentSchedule434[[#This Row],[PMT NO]]&lt;&gt;"",EOMONTH(LoanStartDate,ROW(PaymentSchedule434[[#This Row],[PMT NO]])-ROW(PaymentSchedule434[[#Headers],[PMT NO]])-2)+DAY(LoanStartDate),"")</f>
        <v/>
      </c>
      <c r="D11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17" s="32" t="str">
        <f>IF(PaymentSchedule434[[#This Row],[PMT NO]]&lt;&gt;"",ScheduledPayment,"")</f>
        <v/>
      </c>
      <c r="F11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1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17" s="32" t="str">
        <f>IF(PaymentSchedule434[[#This Row],[PMT NO]]&lt;&gt;"",PaymentSchedule434[[#This Row],[TOTAL PAYMENT]]-PaymentSchedule434[[#This Row],[INTEREST]],"")</f>
        <v/>
      </c>
      <c r="I117" s="32" t="str">
        <f>IF(PaymentSchedule434[[#This Row],[PMT NO]]&lt;&gt;"",PaymentSchedule434[[#This Row],[BEGINNING BALANCE]]*(InterestRate/PaymentsPerYear),"")</f>
        <v/>
      </c>
      <c r="J11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17" s="32" t="str">
        <f>IF(PaymentSchedule434[[#This Row],[PMT NO]]&lt;&gt;"",SUM(INDEX(PaymentSchedule434[INTEREST],1,1):PaymentSchedule434[[#This Row],[INTEREST]]),"")</f>
        <v/>
      </c>
    </row>
    <row r="118" spans="2:11" x14ac:dyDescent="0.3">
      <c r="B118" s="30" t="str">
        <f>IF(LoanIsGood,IF(ROW()-ROW(PaymentSchedule434[[#Headers],[PMT NO]])&gt;ScheduledNumberOfPayments,"",ROW()-ROW(PaymentSchedule434[[#Headers],[PMT NO]])),"")</f>
        <v/>
      </c>
      <c r="C118" s="31" t="str">
        <f>IF(PaymentSchedule434[[#This Row],[PMT NO]]&lt;&gt;"",EOMONTH(LoanStartDate,ROW(PaymentSchedule434[[#This Row],[PMT NO]])-ROW(PaymentSchedule434[[#Headers],[PMT NO]])-2)+DAY(LoanStartDate),"")</f>
        <v/>
      </c>
      <c r="D11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18" s="32" t="str">
        <f>IF(PaymentSchedule434[[#This Row],[PMT NO]]&lt;&gt;"",ScheduledPayment,"")</f>
        <v/>
      </c>
      <c r="F11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1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18" s="32" t="str">
        <f>IF(PaymentSchedule434[[#This Row],[PMT NO]]&lt;&gt;"",PaymentSchedule434[[#This Row],[TOTAL PAYMENT]]-PaymentSchedule434[[#This Row],[INTEREST]],"")</f>
        <v/>
      </c>
      <c r="I118" s="32" t="str">
        <f>IF(PaymentSchedule434[[#This Row],[PMT NO]]&lt;&gt;"",PaymentSchedule434[[#This Row],[BEGINNING BALANCE]]*(InterestRate/PaymentsPerYear),"")</f>
        <v/>
      </c>
      <c r="J11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18" s="32" t="str">
        <f>IF(PaymentSchedule434[[#This Row],[PMT NO]]&lt;&gt;"",SUM(INDEX(PaymentSchedule434[INTEREST],1,1):PaymentSchedule434[[#This Row],[INTEREST]]),"")</f>
        <v/>
      </c>
    </row>
    <row r="119" spans="2:11" x14ac:dyDescent="0.3">
      <c r="B119" s="30" t="str">
        <f>IF(LoanIsGood,IF(ROW()-ROW(PaymentSchedule434[[#Headers],[PMT NO]])&gt;ScheduledNumberOfPayments,"",ROW()-ROW(PaymentSchedule434[[#Headers],[PMT NO]])),"")</f>
        <v/>
      </c>
      <c r="C119" s="31" t="str">
        <f>IF(PaymentSchedule434[[#This Row],[PMT NO]]&lt;&gt;"",EOMONTH(LoanStartDate,ROW(PaymentSchedule434[[#This Row],[PMT NO]])-ROW(PaymentSchedule434[[#Headers],[PMT NO]])-2)+DAY(LoanStartDate),"")</f>
        <v/>
      </c>
      <c r="D11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19" s="32" t="str">
        <f>IF(PaymentSchedule434[[#This Row],[PMT NO]]&lt;&gt;"",ScheduledPayment,"")</f>
        <v/>
      </c>
      <c r="F11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1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19" s="32" t="str">
        <f>IF(PaymentSchedule434[[#This Row],[PMT NO]]&lt;&gt;"",PaymentSchedule434[[#This Row],[TOTAL PAYMENT]]-PaymentSchedule434[[#This Row],[INTEREST]],"")</f>
        <v/>
      </c>
      <c r="I119" s="32" t="str">
        <f>IF(PaymentSchedule434[[#This Row],[PMT NO]]&lt;&gt;"",PaymentSchedule434[[#This Row],[BEGINNING BALANCE]]*(InterestRate/PaymentsPerYear),"")</f>
        <v/>
      </c>
      <c r="J11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19" s="32" t="str">
        <f>IF(PaymentSchedule434[[#This Row],[PMT NO]]&lt;&gt;"",SUM(INDEX(PaymentSchedule434[INTEREST],1,1):PaymentSchedule434[[#This Row],[INTEREST]]),"")</f>
        <v/>
      </c>
    </row>
    <row r="120" spans="2:11" x14ac:dyDescent="0.3">
      <c r="B120" s="30" t="str">
        <f>IF(LoanIsGood,IF(ROW()-ROW(PaymentSchedule434[[#Headers],[PMT NO]])&gt;ScheduledNumberOfPayments,"",ROW()-ROW(PaymentSchedule434[[#Headers],[PMT NO]])),"")</f>
        <v/>
      </c>
      <c r="C120" s="31" t="str">
        <f>IF(PaymentSchedule434[[#This Row],[PMT NO]]&lt;&gt;"",EOMONTH(LoanStartDate,ROW(PaymentSchedule434[[#This Row],[PMT NO]])-ROW(PaymentSchedule434[[#Headers],[PMT NO]])-2)+DAY(LoanStartDate),"")</f>
        <v/>
      </c>
      <c r="D12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20" s="32" t="str">
        <f>IF(PaymentSchedule434[[#This Row],[PMT NO]]&lt;&gt;"",ScheduledPayment,"")</f>
        <v/>
      </c>
      <c r="F12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2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20" s="32" t="str">
        <f>IF(PaymentSchedule434[[#This Row],[PMT NO]]&lt;&gt;"",PaymentSchedule434[[#This Row],[TOTAL PAYMENT]]-PaymentSchedule434[[#This Row],[INTEREST]],"")</f>
        <v/>
      </c>
      <c r="I120" s="32" t="str">
        <f>IF(PaymentSchedule434[[#This Row],[PMT NO]]&lt;&gt;"",PaymentSchedule434[[#This Row],[BEGINNING BALANCE]]*(InterestRate/PaymentsPerYear),"")</f>
        <v/>
      </c>
      <c r="J12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20" s="32" t="str">
        <f>IF(PaymentSchedule434[[#This Row],[PMT NO]]&lt;&gt;"",SUM(INDEX(PaymentSchedule434[INTEREST],1,1):PaymentSchedule434[[#This Row],[INTEREST]]),"")</f>
        <v/>
      </c>
    </row>
    <row r="121" spans="2:11" x14ac:dyDescent="0.3">
      <c r="B121" s="30" t="str">
        <f>IF(LoanIsGood,IF(ROW()-ROW(PaymentSchedule434[[#Headers],[PMT NO]])&gt;ScheduledNumberOfPayments,"",ROW()-ROW(PaymentSchedule434[[#Headers],[PMT NO]])),"")</f>
        <v/>
      </c>
      <c r="C121" s="31" t="str">
        <f>IF(PaymentSchedule434[[#This Row],[PMT NO]]&lt;&gt;"",EOMONTH(LoanStartDate,ROW(PaymentSchedule434[[#This Row],[PMT NO]])-ROW(PaymentSchedule434[[#Headers],[PMT NO]])-2)+DAY(LoanStartDate),"")</f>
        <v/>
      </c>
      <c r="D12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21" s="32" t="str">
        <f>IF(PaymentSchedule434[[#This Row],[PMT NO]]&lt;&gt;"",ScheduledPayment,"")</f>
        <v/>
      </c>
      <c r="F12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2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21" s="32" t="str">
        <f>IF(PaymentSchedule434[[#This Row],[PMT NO]]&lt;&gt;"",PaymentSchedule434[[#This Row],[TOTAL PAYMENT]]-PaymentSchedule434[[#This Row],[INTEREST]],"")</f>
        <v/>
      </c>
      <c r="I121" s="32" t="str">
        <f>IF(PaymentSchedule434[[#This Row],[PMT NO]]&lt;&gt;"",PaymentSchedule434[[#This Row],[BEGINNING BALANCE]]*(InterestRate/PaymentsPerYear),"")</f>
        <v/>
      </c>
      <c r="J12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21" s="32" t="str">
        <f>IF(PaymentSchedule434[[#This Row],[PMT NO]]&lt;&gt;"",SUM(INDEX(PaymentSchedule434[INTEREST],1,1):PaymentSchedule434[[#This Row],[INTEREST]]),"")</f>
        <v/>
      </c>
    </row>
    <row r="122" spans="2:11" x14ac:dyDescent="0.3">
      <c r="B122" s="30" t="str">
        <f>IF(LoanIsGood,IF(ROW()-ROW(PaymentSchedule434[[#Headers],[PMT NO]])&gt;ScheduledNumberOfPayments,"",ROW()-ROW(PaymentSchedule434[[#Headers],[PMT NO]])),"")</f>
        <v/>
      </c>
      <c r="C122" s="31" t="str">
        <f>IF(PaymentSchedule434[[#This Row],[PMT NO]]&lt;&gt;"",EOMONTH(LoanStartDate,ROW(PaymentSchedule434[[#This Row],[PMT NO]])-ROW(PaymentSchedule434[[#Headers],[PMT NO]])-2)+DAY(LoanStartDate),"")</f>
        <v/>
      </c>
      <c r="D12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22" s="32" t="str">
        <f>IF(PaymentSchedule434[[#This Row],[PMT NO]]&lt;&gt;"",ScheduledPayment,"")</f>
        <v/>
      </c>
      <c r="F12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2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22" s="32" t="str">
        <f>IF(PaymentSchedule434[[#This Row],[PMT NO]]&lt;&gt;"",PaymentSchedule434[[#This Row],[TOTAL PAYMENT]]-PaymentSchedule434[[#This Row],[INTEREST]],"")</f>
        <v/>
      </c>
      <c r="I122" s="32" t="str">
        <f>IF(PaymentSchedule434[[#This Row],[PMT NO]]&lt;&gt;"",PaymentSchedule434[[#This Row],[BEGINNING BALANCE]]*(InterestRate/PaymentsPerYear),"")</f>
        <v/>
      </c>
      <c r="J12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22" s="32" t="str">
        <f>IF(PaymentSchedule434[[#This Row],[PMT NO]]&lt;&gt;"",SUM(INDEX(PaymentSchedule434[INTEREST],1,1):PaymentSchedule434[[#This Row],[INTEREST]]),"")</f>
        <v/>
      </c>
    </row>
    <row r="123" spans="2:11" x14ac:dyDescent="0.3">
      <c r="B123" s="30" t="str">
        <f>IF(LoanIsGood,IF(ROW()-ROW(PaymentSchedule434[[#Headers],[PMT NO]])&gt;ScheduledNumberOfPayments,"",ROW()-ROW(PaymentSchedule434[[#Headers],[PMT NO]])),"")</f>
        <v/>
      </c>
      <c r="C123" s="31" t="str">
        <f>IF(PaymentSchedule434[[#This Row],[PMT NO]]&lt;&gt;"",EOMONTH(LoanStartDate,ROW(PaymentSchedule434[[#This Row],[PMT NO]])-ROW(PaymentSchedule434[[#Headers],[PMT NO]])-2)+DAY(LoanStartDate),"")</f>
        <v/>
      </c>
      <c r="D12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23" s="32" t="str">
        <f>IF(PaymentSchedule434[[#This Row],[PMT NO]]&lt;&gt;"",ScheduledPayment,"")</f>
        <v/>
      </c>
      <c r="F12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2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23" s="32" t="str">
        <f>IF(PaymentSchedule434[[#This Row],[PMT NO]]&lt;&gt;"",PaymentSchedule434[[#This Row],[TOTAL PAYMENT]]-PaymentSchedule434[[#This Row],[INTEREST]],"")</f>
        <v/>
      </c>
      <c r="I123" s="32" t="str">
        <f>IF(PaymentSchedule434[[#This Row],[PMT NO]]&lt;&gt;"",PaymentSchedule434[[#This Row],[BEGINNING BALANCE]]*(InterestRate/PaymentsPerYear),"")</f>
        <v/>
      </c>
      <c r="J12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23" s="32" t="str">
        <f>IF(PaymentSchedule434[[#This Row],[PMT NO]]&lt;&gt;"",SUM(INDEX(PaymentSchedule434[INTEREST],1,1):PaymentSchedule434[[#This Row],[INTEREST]]),"")</f>
        <v/>
      </c>
    </row>
    <row r="124" spans="2:11" x14ac:dyDescent="0.3">
      <c r="B124" s="30" t="str">
        <f>IF(LoanIsGood,IF(ROW()-ROW(PaymentSchedule434[[#Headers],[PMT NO]])&gt;ScheduledNumberOfPayments,"",ROW()-ROW(PaymentSchedule434[[#Headers],[PMT NO]])),"")</f>
        <v/>
      </c>
      <c r="C124" s="31" t="str">
        <f>IF(PaymentSchedule434[[#This Row],[PMT NO]]&lt;&gt;"",EOMONTH(LoanStartDate,ROW(PaymentSchedule434[[#This Row],[PMT NO]])-ROW(PaymentSchedule434[[#Headers],[PMT NO]])-2)+DAY(LoanStartDate),"")</f>
        <v/>
      </c>
      <c r="D12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24" s="32" t="str">
        <f>IF(PaymentSchedule434[[#This Row],[PMT NO]]&lt;&gt;"",ScheduledPayment,"")</f>
        <v/>
      </c>
      <c r="F12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2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24" s="32" t="str">
        <f>IF(PaymentSchedule434[[#This Row],[PMT NO]]&lt;&gt;"",PaymentSchedule434[[#This Row],[TOTAL PAYMENT]]-PaymentSchedule434[[#This Row],[INTEREST]],"")</f>
        <v/>
      </c>
      <c r="I124" s="32" t="str">
        <f>IF(PaymentSchedule434[[#This Row],[PMT NO]]&lt;&gt;"",PaymentSchedule434[[#This Row],[BEGINNING BALANCE]]*(InterestRate/PaymentsPerYear),"")</f>
        <v/>
      </c>
      <c r="J12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24" s="32" t="str">
        <f>IF(PaymentSchedule434[[#This Row],[PMT NO]]&lt;&gt;"",SUM(INDEX(PaymentSchedule434[INTEREST],1,1):PaymentSchedule434[[#This Row],[INTEREST]]),"")</f>
        <v/>
      </c>
    </row>
    <row r="125" spans="2:11" x14ac:dyDescent="0.3">
      <c r="B125" s="30" t="str">
        <f>IF(LoanIsGood,IF(ROW()-ROW(PaymentSchedule434[[#Headers],[PMT NO]])&gt;ScheduledNumberOfPayments,"",ROW()-ROW(PaymentSchedule434[[#Headers],[PMT NO]])),"")</f>
        <v/>
      </c>
      <c r="C125" s="31" t="str">
        <f>IF(PaymentSchedule434[[#This Row],[PMT NO]]&lt;&gt;"",EOMONTH(LoanStartDate,ROW(PaymentSchedule434[[#This Row],[PMT NO]])-ROW(PaymentSchedule434[[#Headers],[PMT NO]])-2)+DAY(LoanStartDate),"")</f>
        <v/>
      </c>
      <c r="D12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25" s="32" t="str">
        <f>IF(PaymentSchedule434[[#This Row],[PMT NO]]&lt;&gt;"",ScheduledPayment,"")</f>
        <v/>
      </c>
      <c r="F12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2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25" s="32" t="str">
        <f>IF(PaymentSchedule434[[#This Row],[PMT NO]]&lt;&gt;"",PaymentSchedule434[[#This Row],[TOTAL PAYMENT]]-PaymentSchedule434[[#This Row],[INTEREST]],"")</f>
        <v/>
      </c>
      <c r="I125" s="32" t="str">
        <f>IF(PaymentSchedule434[[#This Row],[PMT NO]]&lt;&gt;"",PaymentSchedule434[[#This Row],[BEGINNING BALANCE]]*(InterestRate/PaymentsPerYear),"")</f>
        <v/>
      </c>
      <c r="J12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25" s="32" t="str">
        <f>IF(PaymentSchedule434[[#This Row],[PMT NO]]&lt;&gt;"",SUM(INDEX(PaymentSchedule434[INTEREST],1,1):PaymentSchedule434[[#This Row],[INTEREST]]),"")</f>
        <v/>
      </c>
    </row>
    <row r="126" spans="2:11" x14ac:dyDescent="0.3">
      <c r="B126" s="30" t="str">
        <f>IF(LoanIsGood,IF(ROW()-ROW(PaymentSchedule434[[#Headers],[PMT NO]])&gt;ScheduledNumberOfPayments,"",ROW()-ROW(PaymentSchedule434[[#Headers],[PMT NO]])),"")</f>
        <v/>
      </c>
      <c r="C126" s="31" t="str">
        <f>IF(PaymentSchedule434[[#This Row],[PMT NO]]&lt;&gt;"",EOMONTH(LoanStartDate,ROW(PaymentSchedule434[[#This Row],[PMT NO]])-ROW(PaymentSchedule434[[#Headers],[PMT NO]])-2)+DAY(LoanStartDate),"")</f>
        <v/>
      </c>
      <c r="D12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26" s="32" t="str">
        <f>IF(PaymentSchedule434[[#This Row],[PMT NO]]&lt;&gt;"",ScheduledPayment,"")</f>
        <v/>
      </c>
      <c r="F12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2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26" s="32" t="str">
        <f>IF(PaymentSchedule434[[#This Row],[PMT NO]]&lt;&gt;"",PaymentSchedule434[[#This Row],[TOTAL PAYMENT]]-PaymentSchedule434[[#This Row],[INTEREST]],"")</f>
        <v/>
      </c>
      <c r="I126" s="32" t="str">
        <f>IF(PaymentSchedule434[[#This Row],[PMT NO]]&lt;&gt;"",PaymentSchedule434[[#This Row],[BEGINNING BALANCE]]*(InterestRate/PaymentsPerYear),"")</f>
        <v/>
      </c>
      <c r="J12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26" s="32" t="str">
        <f>IF(PaymentSchedule434[[#This Row],[PMT NO]]&lt;&gt;"",SUM(INDEX(PaymentSchedule434[INTEREST],1,1):PaymentSchedule434[[#This Row],[INTEREST]]),"")</f>
        <v/>
      </c>
    </row>
    <row r="127" spans="2:11" x14ac:dyDescent="0.3">
      <c r="B127" s="30" t="str">
        <f>IF(LoanIsGood,IF(ROW()-ROW(PaymentSchedule434[[#Headers],[PMT NO]])&gt;ScheduledNumberOfPayments,"",ROW()-ROW(PaymentSchedule434[[#Headers],[PMT NO]])),"")</f>
        <v/>
      </c>
      <c r="C127" s="31" t="str">
        <f>IF(PaymentSchedule434[[#This Row],[PMT NO]]&lt;&gt;"",EOMONTH(LoanStartDate,ROW(PaymentSchedule434[[#This Row],[PMT NO]])-ROW(PaymentSchedule434[[#Headers],[PMT NO]])-2)+DAY(LoanStartDate),"")</f>
        <v/>
      </c>
      <c r="D12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27" s="32" t="str">
        <f>IF(PaymentSchedule434[[#This Row],[PMT NO]]&lt;&gt;"",ScheduledPayment,"")</f>
        <v/>
      </c>
      <c r="F12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2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27" s="32" t="str">
        <f>IF(PaymentSchedule434[[#This Row],[PMT NO]]&lt;&gt;"",PaymentSchedule434[[#This Row],[TOTAL PAYMENT]]-PaymentSchedule434[[#This Row],[INTEREST]],"")</f>
        <v/>
      </c>
      <c r="I127" s="32" t="str">
        <f>IF(PaymentSchedule434[[#This Row],[PMT NO]]&lt;&gt;"",PaymentSchedule434[[#This Row],[BEGINNING BALANCE]]*(InterestRate/PaymentsPerYear),"")</f>
        <v/>
      </c>
      <c r="J12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27" s="32" t="str">
        <f>IF(PaymentSchedule434[[#This Row],[PMT NO]]&lt;&gt;"",SUM(INDEX(PaymentSchedule434[INTEREST],1,1):PaymentSchedule434[[#This Row],[INTEREST]]),"")</f>
        <v/>
      </c>
    </row>
    <row r="128" spans="2:11" x14ac:dyDescent="0.3">
      <c r="B128" s="30" t="str">
        <f>IF(LoanIsGood,IF(ROW()-ROW(PaymentSchedule434[[#Headers],[PMT NO]])&gt;ScheduledNumberOfPayments,"",ROW()-ROW(PaymentSchedule434[[#Headers],[PMT NO]])),"")</f>
        <v/>
      </c>
      <c r="C128" s="31" t="str">
        <f>IF(PaymentSchedule434[[#This Row],[PMT NO]]&lt;&gt;"",EOMONTH(LoanStartDate,ROW(PaymentSchedule434[[#This Row],[PMT NO]])-ROW(PaymentSchedule434[[#Headers],[PMT NO]])-2)+DAY(LoanStartDate),"")</f>
        <v/>
      </c>
      <c r="D12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28" s="32" t="str">
        <f>IF(PaymentSchedule434[[#This Row],[PMT NO]]&lt;&gt;"",ScheduledPayment,"")</f>
        <v/>
      </c>
      <c r="F12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2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28" s="32" t="str">
        <f>IF(PaymentSchedule434[[#This Row],[PMT NO]]&lt;&gt;"",PaymentSchedule434[[#This Row],[TOTAL PAYMENT]]-PaymentSchedule434[[#This Row],[INTEREST]],"")</f>
        <v/>
      </c>
      <c r="I128" s="32" t="str">
        <f>IF(PaymentSchedule434[[#This Row],[PMT NO]]&lt;&gt;"",PaymentSchedule434[[#This Row],[BEGINNING BALANCE]]*(InterestRate/PaymentsPerYear),"")</f>
        <v/>
      </c>
      <c r="J12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28" s="32" t="str">
        <f>IF(PaymentSchedule434[[#This Row],[PMT NO]]&lt;&gt;"",SUM(INDEX(PaymentSchedule434[INTEREST],1,1):PaymentSchedule434[[#This Row],[INTEREST]]),"")</f>
        <v/>
      </c>
    </row>
    <row r="129" spans="2:11" x14ac:dyDescent="0.3">
      <c r="B129" s="30" t="str">
        <f>IF(LoanIsGood,IF(ROW()-ROW(PaymentSchedule434[[#Headers],[PMT NO]])&gt;ScheduledNumberOfPayments,"",ROW()-ROW(PaymentSchedule434[[#Headers],[PMT NO]])),"")</f>
        <v/>
      </c>
      <c r="C129" s="31" t="str">
        <f>IF(PaymentSchedule434[[#This Row],[PMT NO]]&lt;&gt;"",EOMONTH(LoanStartDate,ROW(PaymentSchedule434[[#This Row],[PMT NO]])-ROW(PaymentSchedule434[[#Headers],[PMT NO]])-2)+DAY(LoanStartDate),"")</f>
        <v/>
      </c>
      <c r="D12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29" s="32" t="str">
        <f>IF(PaymentSchedule434[[#This Row],[PMT NO]]&lt;&gt;"",ScheduledPayment,"")</f>
        <v/>
      </c>
      <c r="F12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2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29" s="32" t="str">
        <f>IF(PaymentSchedule434[[#This Row],[PMT NO]]&lt;&gt;"",PaymentSchedule434[[#This Row],[TOTAL PAYMENT]]-PaymentSchedule434[[#This Row],[INTEREST]],"")</f>
        <v/>
      </c>
      <c r="I129" s="32" t="str">
        <f>IF(PaymentSchedule434[[#This Row],[PMT NO]]&lt;&gt;"",PaymentSchedule434[[#This Row],[BEGINNING BALANCE]]*(InterestRate/PaymentsPerYear),"")</f>
        <v/>
      </c>
      <c r="J12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29" s="32" t="str">
        <f>IF(PaymentSchedule434[[#This Row],[PMT NO]]&lt;&gt;"",SUM(INDEX(PaymentSchedule434[INTEREST],1,1):PaymentSchedule434[[#This Row],[INTEREST]]),"")</f>
        <v/>
      </c>
    </row>
    <row r="130" spans="2:11" x14ac:dyDescent="0.3">
      <c r="B130" s="30" t="str">
        <f>IF(LoanIsGood,IF(ROW()-ROW(PaymentSchedule434[[#Headers],[PMT NO]])&gt;ScheduledNumberOfPayments,"",ROW()-ROW(PaymentSchedule434[[#Headers],[PMT NO]])),"")</f>
        <v/>
      </c>
      <c r="C130" s="31" t="str">
        <f>IF(PaymentSchedule434[[#This Row],[PMT NO]]&lt;&gt;"",EOMONTH(LoanStartDate,ROW(PaymentSchedule434[[#This Row],[PMT NO]])-ROW(PaymentSchedule434[[#Headers],[PMT NO]])-2)+DAY(LoanStartDate),"")</f>
        <v/>
      </c>
      <c r="D13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30" s="32" t="str">
        <f>IF(PaymentSchedule434[[#This Row],[PMT NO]]&lt;&gt;"",ScheduledPayment,"")</f>
        <v/>
      </c>
      <c r="F13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3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30" s="32" t="str">
        <f>IF(PaymentSchedule434[[#This Row],[PMT NO]]&lt;&gt;"",PaymentSchedule434[[#This Row],[TOTAL PAYMENT]]-PaymentSchedule434[[#This Row],[INTEREST]],"")</f>
        <v/>
      </c>
      <c r="I130" s="32" t="str">
        <f>IF(PaymentSchedule434[[#This Row],[PMT NO]]&lt;&gt;"",PaymentSchedule434[[#This Row],[BEGINNING BALANCE]]*(InterestRate/PaymentsPerYear),"")</f>
        <v/>
      </c>
      <c r="J13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30" s="32" t="str">
        <f>IF(PaymentSchedule434[[#This Row],[PMT NO]]&lt;&gt;"",SUM(INDEX(PaymentSchedule434[INTEREST],1,1):PaymentSchedule434[[#This Row],[INTEREST]]),"")</f>
        <v/>
      </c>
    </row>
    <row r="131" spans="2:11" x14ac:dyDescent="0.3">
      <c r="B131" s="30" t="str">
        <f>IF(LoanIsGood,IF(ROW()-ROW(PaymentSchedule434[[#Headers],[PMT NO]])&gt;ScheduledNumberOfPayments,"",ROW()-ROW(PaymentSchedule434[[#Headers],[PMT NO]])),"")</f>
        <v/>
      </c>
      <c r="C131" s="31" t="str">
        <f>IF(PaymentSchedule434[[#This Row],[PMT NO]]&lt;&gt;"",EOMONTH(LoanStartDate,ROW(PaymentSchedule434[[#This Row],[PMT NO]])-ROW(PaymentSchedule434[[#Headers],[PMT NO]])-2)+DAY(LoanStartDate),"")</f>
        <v/>
      </c>
      <c r="D13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31" s="32" t="str">
        <f>IF(PaymentSchedule434[[#This Row],[PMT NO]]&lt;&gt;"",ScheduledPayment,"")</f>
        <v/>
      </c>
      <c r="F13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3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31" s="32" t="str">
        <f>IF(PaymentSchedule434[[#This Row],[PMT NO]]&lt;&gt;"",PaymentSchedule434[[#This Row],[TOTAL PAYMENT]]-PaymentSchedule434[[#This Row],[INTEREST]],"")</f>
        <v/>
      </c>
      <c r="I131" s="32" t="str">
        <f>IF(PaymentSchedule434[[#This Row],[PMT NO]]&lt;&gt;"",PaymentSchedule434[[#This Row],[BEGINNING BALANCE]]*(InterestRate/PaymentsPerYear),"")</f>
        <v/>
      </c>
      <c r="J13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31" s="32" t="str">
        <f>IF(PaymentSchedule434[[#This Row],[PMT NO]]&lt;&gt;"",SUM(INDEX(PaymentSchedule434[INTEREST],1,1):PaymentSchedule434[[#This Row],[INTEREST]]),"")</f>
        <v/>
      </c>
    </row>
    <row r="132" spans="2:11" x14ac:dyDescent="0.3">
      <c r="B132" s="30" t="str">
        <f>IF(LoanIsGood,IF(ROW()-ROW(PaymentSchedule434[[#Headers],[PMT NO]])&gt;ScheduledNumberOfPayments,"",ROW()-ROW(PaymentSchedule434[[#Headers],[PMT NO]])),"")</f>
        <v/>
      </c>
      <c r="C132" s="31" t="str">
        <f>IF(PaymentSchedule434[[#This Row],[PMT NO]]&lt;&gt;"",EOMONTH(LoanStartDate,ROW(PaymentSchedule434[[#This Row],[PMT NO]])-ROW(PaymentSchedule434[[#Headers],[PMT NO]])-2)+DAY(LoanStartDate),"")</f>
        <v/>
      </c>
      <c r="D13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32" s="32" t="str">
        <f>IF(PaymentSchedule434[[#This Row],[PMT NO]]&lt;&gt;"",ScheduledPayment,"")</f>
        <v/>
      </c>
      <c r="F13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3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32" s="32" t="str">
        <f>IF(PaymentSchedule434[[#This Row],[PMT NO]]&lt;&gt;"",PaymentSchedule434[[#This Row],[TOTAL PAYMENT]]-PaymentSchedule434[[#This Row],[INTEREST]],"")</f>
        <v/>
      </c>
      <c r="I132" s="32" t="str">
        <f>IF(PaymentSchedule434[[#This Row],[PMT NO]]&lt;&gt;"",PaymentSchedule434[[#This Row],[BEGINNING BALANCE]]*(InterestRate/PaymentsPerYear),"")</f>
        <v/>
      </c>
      <c r="J13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32" s="32" t="str">
        <f>IF(PaymentSchedule434[[#This Row],[PMT NO]]&lt;&gt;"",SUM(INDEX(PaymentSchedule434[INTEREST],1,1):PaymentSchedule434[[#This Row],[INTEREST]]),"")</f>
        <v/>
      </c>
    </row>
    <row r="133" spans="2:11" x14ac:dyDescent="0.3">
      <c r="B133" s="30" t="str">
        <f>IF(LoanIsGood,IF(ROW()-ROW(PaymentSchedule434[[#Headers],[PMT NO]])&gt;ScheduledNumberOfPayments,"",ROW()-ROW(PaymentSchedule434[[#Headers],[PMT NO]])),"")</f>
        <v/>
      </c>
      <c r="C133" s="31" t="str">
        <f>IF(PaymentSchedule434[[#This Row],[PMT NO]]&lt;&gt;"",EOMONTH(LoanStartDate,ROW(PaymentSchedule434[[#This Row],[PMT NO]])-ROW(PaymentSchedule434[[#Headers],[PMT NO]])-2)+DAY(LoanStartDate),"")</f>
        <v/>
      </c>
      <c r="D13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33" s="32" t="str">
        <f>IF(PaymentSchedule434[[#This Row],[PMT NO]]&lt;&gt;"",ScheduledPayment,"")</f>
        <v/>
      </c>
      <c r="F13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3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33" s="32" t="str">
        <f>IF(PaymentSchedule434[[#This Row],[PMT NO]]&lt;&gt;"",PaymentSchedule434[[#This Row],[TOTAL PAYMENT]]-PaymentSchedule434[[#This Row],[INTEREST]],"")</f>
        <v/>
      </c>
      <c r="I133" s="32" t="str">
        <f>IF(PaymentSchedule434[[#This Row],[PMT NO]]&lt;&gt;"",PaymentSchedule434[[#This Row],[BEGINNING BALANCE]]*(InterestRate/PaymentsPerYear),"")</f>
        <v/>
      </c>
      <c r="J13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33" s="32" t="str">
        <f>IF(PaymentSchedule434[[#This Row],[PMT NO]]&lt;&gt;"",SUM(INDEX(PaymentSchedule434[INTEREST],1,1):PaymentSchedule434[[#This Row],[INTEREST]]),"")</f>
        <v/>
      </c>
    </row>
    <row r="134" spans="2:11" x14ac:dyDescent="0.3">
      <c r="B134" s="30" t="str">
        <f>IF(LoanIsGood,IF(ROW()-ROW(PaymentSchedule434[[#Headers],[PMT NO]])&gt;ScheduledNumberOfPayments,"",ROW()-ROW(PaymentSchedule434[[#Headers],[PMT NO]])),"")</f>
        <v/>
      </c>
      <c r="C134" s="31" t="str">
        <f>IF(PaymentSchedule434[[#This Row],[PMT NO]]&lt;&gt;"",EOMONTH(LoanStartDate,ROW(PaymentSchedule434[[#This Row],[PMT NO]])-ROW(PaymentSchedule434[[#Headers],[PMT NO]])-2)+DAY(LoanStartDate),"")</f>
        <v/>
      </c>
      <c r="D13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34" s="32" t="str">
        <f>IF(PaymentSchedule434[[#This Row],[PMT NO]]&lt;&gt;"",ScheduledPayment,"")</f>
        <v/>
      </c>
      <c r="F13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3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34" s="32" t="str">
        <f>IF(PaymentSchedule434[[#This Row],[PMT NO]]&lt;&gt;"",PaymentSchedule434[[#This Row],[TOTAL PAYMENT]]-PaymentSchedule434[[#This Row],[INTEREST]],"")</f>
        <v/>
      </c>
      <c r="I134" s="32" t="str">
        <f>IF(PaymentSchedule434[[#This Row],[PMT NO]]&lt;&gt;"",PaymentSchedule434[[#This Row],[BEGINNING BALANCE]]*(InterestRate/PaymentsPerYear),"")</f>
        <v/>
      </c>
      <c r="J13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34" s="32" t="str">
        <f>IF(PaymentSchedule434[[#This Row],[PMT NO]]&lt;&gt;"",SUM(INDEX(PaymentSchedule434[INTEREST],1,1):PaymentSchedule434[[#This Row],[INTEREST]]),"")</f>
        <v/>
      </c>
    </row>
    <row r="135" spans="2:11" x14ac:dyDescent="0.3">
      <c r="B135" s="30" t="str">
        <f>IF(LoanIsGood,IF(ROW()-ROW(PaymentSchedule434[[#Headers],[PMT NO]])&gt;ScheduledNumberOfPayments,"",ROW()-ROW(PaymentSchedule434[[#Headers],[PMT NO]])),"")</f>
        <v/>
      </c>
      <c r="C135" s="31" t="str">
        <f>IF(PaymentSchedule434[[#This Row],[PMT NO]]&lt;&gt;"",EOMONTH(LoanStartDate,ROW(PaymentSchedule434[[#This Row],[PMT NO]])-ROW(PaymentSchedule434[[#Headers],[PMT NO]])-2)+DAY(LoanStartDate),"")</f>
        <v/>
      </c>
      <c r="D13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35" s="32" t="str">
        <f>IF(PaymentSchedule434[[#This Row],[PMT NO]]&lt;&gt;"",ScheduledPayment,"")</f>
        <v/>
      </c>
      <c r="F13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3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35" s="32" t="str">
        <f>IF(PaymentSchedule434[[#This Row],[PMT NO]]&lt;&gt;"",PaymentSchedule434[[#This Row],[TOTAL PAYMENT]]-PaymentSchedule434[[#This Row],[INTEREST]],"")</f>
        <v/>
      </c>
      <c r="I135" s="32" t="str">
        <f>IF(PaymentSchedule434[[#This Row],[PMT NO]]&lt;&gt;"",PaymentSchedule434[[#This Row],[BEGINNING BALANCE]]*(InterestRate/PaymentsPerYear),"")</f>
        <v/>
      </c>
      <c r="J13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35" s="32" t="str">
        <f>IF(PaymentSchedule434[[#This Row],[PMT NO]]&lt;&gt;"",SUM(INDEX(PaymentSchedule434[INTEREST],1,1):PaymentSchedule434[[#This Row],[INTEREST]]),"")</f>
        <v/>
      </c>
    </row>
    <row r="136" spans="2:11" x14ac:dyDescent="0.3">
      <c r="B136" s="30" t="str">
        <f>IF(LoanIsGood,IF(ROW()-ROW(PaymentSchedule434[[#Headers],[PMT NO]])&gt;ScheduledNumberOfPayments,"",ROW()-ROW(PaymentSchedule434[[#Headers],[PMT NO]])),"")</f>
        <v/>
      </c>
      <c r="C136" s="31" t="str">
        <f>IF(PaymentSchedule434[[#This Row],[PMT NO]]&lt;&gt;"",EOMONTH(LoanStartDate,ROW(PaymentSchedule434[[#This Row],[PMT NO]])-ROW(PaymentSchedule434[[#Headers],[PMT NO]])-2)+DAY(LoanStartDate),"")</f>
        <v/>
      </c>
      <c r="D13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36" s="32" t="str">
        <f>IF(PaymentSchedule434[[#This Row],[PMT NO]]&lt;&gt;"",ScheduledPayment,"")</f>
        <v/>
      </c>
      <c r="F13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3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36" s="32" t="str">
        <f>IF(PaymentSchedule434[[#This Row],[PMT NO]]&lt;&gt;"",PaymentSchedule434[[#This Row],[TOTAL PAYMENT]]-PaymentSchedule434[[#This Row],[INTEREST]],"")</f>
        <v/>
      </c>
      <c r="I136" s="32" t="str">
        <f>IF(PaymentSchedule434[[#This Row],[PMT NO]]&lt;&gt;"",PaymentSchedule434[[#This Row],[BEGINNING BALANCE]]*(InterestRate/PaymentsPerYear),"")</f>
        <v/>
      </c>
      <c r="J13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36" s="32" t="str">
        <f>IF(PaymentSchedule434[[#This Row],[PMT NO]]&lt;&gt;"",SUM(INDEX(PaymentSchedule434[INTEREST],1,1):PaymentSchedule434[[#This Row],[INTEREST]]),"")</f>
        <v/>
      </c>
    </row>
    <row r="137" spans="2:11" x14ac:dyDescent="0.3">
      <c r="B137" s="30" t="str">
        <f>IF(LoanIsGood,IF(ROW()-ROW(PaymentSchedule434[[#Headers],[PMT NO]])&gt;ScheduledNumberOfPayments,"",ROW()-ROW(PaymentSchedule434[[#Headers],[PMT NO]])),"")</f>
        <v/>
      </c>
      <c r="C137" s="31" t="str">
        <f>IF(PaymentSchedule434[[#This Row],[PMT NO]]&lt;&gt;"",EOMONTH(LoanStartDate,ROW(PaymentSchedule434[[#This Row],[PMT NO]])-ROW(PaymentSchedule434[[#Headers],[PMT NO]])-2)+DAY(LoanStartDate),"")</f>
        <v/>
      </c>
      <c r="D13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37" s="32" t="str">
        <f>IF(PaymentSchedule434[[#This Row],[PMT NO]]&lt;&gt;"",ScheduledPayment,"")</f>
        <v/>
      </c>
      <c r="F13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3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37" s="32" t="str">
        <f>IF(PaymentSchedule434[[#This Row],[PMT NO]]&lt;&gt;"",PaymentSchedule434[[#This Row],[TOTAL PAYMENT]]-PaymentSchedule434[[#This Row],[INTEREST]],"")</f>
        <v/>
      </c>
      <c r="I137" s="32" t="str">
        <f>IF(PaymentSchedule434[[#This Row],[PMT NO]]&lt;&gt;"",PaymentSchedule434[[#This Row],[BEGINNING BALANCE]]*(InterestRate/PaymentsPerYear),"")</f>
        <v/>
      </c>
      <c r="J13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37" s="32" t="str">
        <f>IF(PaymentSchedule434[[#This Row],[PMT NO]]&lt;&gt;"",SUM(INDEX(PaymentSchedule434[INTEREST],1,1):PaymentSchedule434[[#This Row],[INTEREST]]),"")</f>
        <v/>
      </c>
    </row>
    <row r="138" spans="2:11" x14ac:dyDescent="0.3">
      <c r="B138" s="30" t="str">
        <f>IF(LoanIsGood,IF(ROW()-ROW(PaymentSchedule434[[#Headers],[PMT NO]])&gt;ScheduledNumberOfPayments,"",ROW()-ROW(PaymentSchedule434[[#Headers],[PMT NO]])),"")</f>
        <v/>
      </c>
      <c r="C138" s="31" t="str">
        <f>IF(PaymentSchedule434[[#This Row],[PMT NO]]&lt;&gt;"",EOMONTH(LoanStartDate,ROW(PaymentSchedule434[[#This Row],[PMT NO]])-ROW(PaymentSchedule434[[#Headers],[PMT NO]])-2)+DAY(LoanStartDate),"")</f>
        <v/>
      </c>
      <c r="D13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38" s="32" t="str">
        <f>IF(PaymentSchedule434[[#This Row],[PMT NO]]&lt;&gt;"",ScheduledPayment,"")</f>
        <v/>
      </c>
      <c r="F13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3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38" s="32" t="str">
        <f>IF(PaymentSchedule434[[#This Row],[PMT NO]]&lt;&gt;"",PaymentSchedule434[[#This Row],[TOTAL PAYMENT]]-PaymentSchedule434[[#This Row],[INTEREST]],"")</f>
        <v/>
      </c>
      <c r="I138" s="32" t="str">
        <f>IF(PaymentSchedule434[[#This Row],[PMT NO]]&lt;&gt;"",PaymentSchedule434[[#This Row],[BEGINNING BALANCE]]*(InterestRate/PaymentsPerYear),"")</f>
        <v/>
      </c>
      <c r="J13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38" s="32" t="str">
        <f>IF(PaymentSchedule434[[#This Row],[PMT NO]]&lt;&gt;"",SUM(INDEX(PaymentSchedule434[INTEREST],1,1):PaymentSchedule434[[#This Row],[INTEREST]]),"")</f>
        <v/>
      </c>
    </row>
    <row r="139" spans="2:11" x14ac:dyDescent="0.3">
      <c r="B139" s="30" t="str">
        <f>IF(LoanIsGood,IF(ROW()-ROW(PaymentSchedule434[[#Headers],[PMT NO]])&gt;ScheduledNumberOfPayments,"",ROW()-ROW(PaymentSchedule434[[#Headers],[PMT NO]])),"")</f>
        <v/>
      </c>
      <c r="C139" s="31" t="str">
        <f>IF(PaymentSchedule434[[#This Row],[PMT NO]]&lt;&gt;"",EOMONTH(LoanStartDate,ROW(PaymentSchedule434[[#This Row],[PMT NO]])-ROW(PaymentSchedule434[[#Headers],[PMT NO]])-2)+DAY(LoanStartDate),"")</f>
        <v/>
      </c>
      <c r="D13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39" s="32" t="str">
        <f>IF(PaymentSchedule434[[#This Row],[PMT NO]]&lt;&gt;"",ScheduledPayment,"")</f>
        <v/>
      </c>
      <c r="F13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3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39" s="32" t="str">
        <f>IF(PaymentSchedule434[[#This Row],[PMT NO]]&lt;&gt;"",PaymentSchedule434[[#This Row],[TOTAL PAYMENT]]-PaymentSchedule434[[#This Row],[INTEREST]],"")</f>
        <v/>
      </c>
      <c r="I139" s="32" t="str">
        <f>IF(PaymentSchedule434[[#This Row],[PMT NO]]&lt;&gt;"",PaymentSchedule434[[#This Row],[BEGINNING BALANCE]]*(InterestRate/PaymentsPerYear),"")</f>
        <v/>
      </c>
      <c r="J13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39" s="32" t="str">
        <f>IF(PaymentSchedule434[[#This Row],[PMT NO]]&lt;&gt;"",SUM(INDEX(PaymentSchedule434[INTEREST],1,1):PaymentSchedule434[[#This Row],[INTEREST]]),"")</f>
        <v/>
      </c>
    </row>
    <row r="140" spans="2:11" x14ac:dyDescent="0.3">
      <c r="B140" s="30" t="str">
        <f>IF(LoanIsGood,IF(ROW()-ROW(PaymentSchedule434[[#Headers],[PMT NO]])&gt;ScheduledNumberOfPayments,"",ROW()-ROW(PaymentSchedule434[[#Headers],[PMT NO]])),"")</f>
        <v/>
      </c>
      <c r="C140" s="31" t="str">
        <f>IF(PaymentSchedule434[[#This Row],[PMT NO]]&lt;&gt;"",EOMONTH(LoanStartDate,ROW(PaymentSchedule434[[#This Row],[PMT NO]])-ROW(PaymentSchedule434[[#Headers],[PMT NO]])-2)+DAY(LoanStartDate),"")</f>
        <v/>
      </c>
      <c r="D14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40" s="32" t="str">
        <f>IF(PaymentSchedule434[[#This Row],[PMT NO]]&lt;&gt;"",ScheduledPayment,"")</f>
        <v/>
      </c>
      <c r="F14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4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40" s="32" t="str">
        <f>IF(PaymentSchedule434[[#This Row],[PMT NO]]&lt;&gt;"",PaymentSchedule434[[#This Row],[TOTAL PAYMENT]]-PaymentSchedule434[[#This Row],[INTEREST]],"")</f>
        <v/>
      </c>
      <c r="I140" s="32" t="str">
        <f>IF(PaymentSchedule434[[#This Row],[PMT NO]]&lt;&gt;"",PaymentSchedule434[[#This Row],[BEGINNING BALANCE]]*(InterestRate/PaymentsPerYear),"")</f>
        <v/>
      </c>
      <c r="J14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40" s="32" t="str">
        <f>IF(PaymentSchedule434[[#This Row],[PMT NO]]&lt;&gt;"",SUM(INDEX(PaymentSchedule434[INTEREST],1,1):PaymentSchedule434[[#This Row],[INTEREST]]),"")</f>
        <v/>
      </c>
    </row>
    <row r="141" spans="2:11" x14ac:dyDescent="0.3">
      <c r="B141" s="30" t="str">
        <f>IF(LoanIsGood,IF(ROW()-ROW(PaymentSchedule434[[#Headers],[PMT NO]])&gt;ScheduledNumberOfPayments,"",ROW()-ROW(PaymentSchedule434[[#Headers],[PMT NO]])),"")</f>
        <v/>
      </c>
      <c r="C141" s="31" t="str">
        <f>IF(PaymentSchedule434[[#This Row],[PMT NO]]&lt;&gt;"",EOMONTH(LoanStartDate,ROW(PaymentSchedule434[[#This Row],[PMT NO]])-ROW(PaymentSchedule434[[#Headers],[PMT NO]])-2)+DAY(LoanStartDate),"")</f>
        <v/>
      </c>
      <c r="D14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41" s="32" t="str">
        <f>IF(PaymentSchedule434[[#This Row],[PMT NO]]&lt;&gt;"",ScheduledPayment,"")</f>
        <v/>
      </c>
      <c r="F14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4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41" s="32" t="str">
        <f>IF(PaymentSchedule434[[#This Row],[PMT NO]]&lt;&gt;"",PaymentSchedule434[[#This Row],[TOTAL PAYMENT]]-PaymentSchedule434[[#This Row],[INTEREST]],"")</f>
        <v/>
      </c>
      <c r="I141" s="32" t="str">
        <f>IF(PaymentSchedule434[[#This Row],[PMT NO]]&lt;&gt;"",PaymentSchedule434[[#This Row],[BEGINNING BALANCE]]*(InterestRate/PaymentsPerYear),"")</f>
        <v/>
      </c>
      <c r="J14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41" s="32" t="str">
        <f>IF(PaymentSchedule434[[#This Row],[PMT NO]]&lt;&gt;"",SUM(INDEX(PaymentSchedule434[INTEREST],1,1):PaymentSchedule434[[#This Row],[INTEREST]]),"")</f>
        <v/>
      </c>
    </row>
    <row r="142" spans="2:11" x14ac:dyDescent="0.3">
      <c r="B142" s="30" t="str">
        <f>IF(LoanIsGood,IF(ROW()-ROW(PaymentSchedule434[[#Headers],[PMT NO]])&gt;ScheduledNumberOfPayments,"",ROW()-ROW(PaymentSchedule434[[#Headers],[PMT NO]])),"")</f>
        <v/>
      </c>
      <c r="C142" s="31" t="str">
        <f>IF(PaymentSchedule434[[#This Row],[PMT NO]]&lt;&gt;"",EOMONTH(LoanStartDate,ROW(PaymentSchedule434[[#This Row],[PMT NO]])-ROW(PaymentSchedule434[[#Headers],[PMT NO]])-2)+DAY(LoanStartDate),"")</f>
        <v/>
      </c>
      <c r="D14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42" s="32" t="str">
        <f>IF(PaymentSchedule434[[#This Row],[PMT NO]]&lt;&gt;"",ScheduledPayment,"")</f>
        <v/>
      </c>
      <c r="F14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4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42" s="32" t="str">
        <f>IF(PaymentSchedule434[[#This Row],[PMT NO]]&lt;&gt;"",PaymentSchedule434[[#This Row],[TOTAL PAYMENT]]-PaymentSchedule434[[#This Row],[INTEREST]],"")</f>
        <v/>
      </c>
      <c r="I142" s="32" t="str">
        <f>IF(PaymentSchedule434[[#This Row],[PMT NO]]&lt;&gt;"",PaymentSchedule434[[#This Row],[BEGINNING BALANCE]]*(InterestRate/PaymentsPerYear),"")</f>
        <v/>
      </c>
      <c r="J14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42" s="32" t="str">
        <f>IF(PaymentSchedule434[[#This Row],[PMT NO]]&lt;&gt;"",SUM(INDEX(PaymentSchedule434[INTEREST],1,1):PaymentSchedule434[[#This Row],[INTEREST]]),"")</f>
        <v/>
      </c>
    </row>
    <row r="143" spans="2:11" x14ac:dyDescent="0.3">
      <c r="B143" s="30" t="str">
        <f>IF(LoanIsGood,IF(ROW()-ROW(PaymentSchedule434[[#Headers],[PMT NO]])&gt;ScheduledNumberOfPayments,"",ROW()-ROW(PaymentSchedule434[[#Headers],[PMT NO]])),"")</f>
        <v/>
      </c>
      <c r="C143" s="31" t="str">
        <f>IF(PaymentSchedule434[[#This Row],[PMT NO]]&lt;&gt;"",EOMONTH(LoanStartDate,ROW(PaymentSchedule434[[#This Row],[PMT NO]])-ROW(PaymentSchedule434[[#Headers],[PMT NO]])-2)+DAY(LoanStartDate),"")</f>
        <v/>
      </c>
      <c r="D14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43" s="32" t="str">
        <f>IF(PaymentSchedule434[[#This Row],[PMT NO]]&lt;&gt;"",ScheduledPayment,"")</f>
        <v/>
      </c>
      <c r="F14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4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43" s="32" t="str">
        <f>IF(PaymentSchedule434[[#This Row],[PMT NO]]&lt;&gt;"",PaymentSchedule434[[#This Row],[TOTAL PAYMENT]]-PaymentSchedule434[[#This Row],[INTEREST]],"")</f>
        <v/>
      </c>
      <c r="I143" s="32" t="str">
        <f>IF(PaymentSchedule434[[#This Row],[PMT NO]]&lt;&gt;"",PaymentSchedule434[[#This Row],[BEGINNING BALANCE]]*(InterestRate/PaymentsPerYear),"")</f>
        <v/>
      </c>
      <c r="J14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43" s="32" t="str">
        <f>IF(PaymentSchedule434[[#This Row],[PMT NO]]&lt;&gt;"",SUM(INDEX(PaymentSchedule434[INTEREST],1,1):PaymentSchedule434[[#This Row],[INTEREST]]),"")</f>
        <v/>
      </c>
    </row>
    <row r="144" spans="2:11" x14ac:dyDescent="0.3">
      <c r="B144" s="30" t="str">
        <f>IF(LoanIsGood,IF(ROW()-ROW(PaymentSchedule434[[#Headers],[PMT NO]])&gt;ScheduledNumberOfPayments,"",ROW()-ROW(PaymentSchedule434[[#Headers],[PMT NO]])),"")</f>
        <v/>
      </c>
      <c r="C144" s="31" t="str">
        <f>IF(PaymentSchedule434[[#This Row],[PMT NO]]&lt;&gt;"",EOMONTH(LoanStartDate,ROW(PaymentSchedule434[[#This Row],[PMT NO]])-ROW(PaymentSchedule434[[#Headers],[PMT NO]])-2)+DAY(LoanStartDate),"")</f>
        <v/>
      </c>
      <c r="D14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44" s="32" t="str">
        <f>IF(PaymentSchedule434[[#This Row],[PMT NO]]&lt;&gt;"",ScheduledPayment,"")</f>
        <v/>
      </c>
      <c r="F14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4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44" s="32" t="str">
        <f>IF(PaymentSchedule434[[#This Row],[PMT NO]]&lt;&gt;"",PaymentSchedule434[[#This Row],[TOTAL PAYMENT]]-PaymentSchedule434[[#This Row],[INTEREST]],"")</f>
        <v/>
      </c>
      <c r="I144" s="32" t="str">
        <f>IF(PaymentSchedule434[[#This Row],[PMT NO]]&lt;&gt;"",PaymentSchedule434[[#This Row],[BEGINNING BALANCE]]*(InterestRate/PaymentsPerYear),"")</f>
        <v/>
      </c>
      <c r="J14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44" s="32" t="str">
        <f>IF(PaymentSchedule434[[#This Row],[PMT NO]]&lt;&gt;"",SUM(INDEX(PaymentSchedule434[INTEREST],1,1):PaymentSchedule434[[#This Row],[INTEREST]]),"")</f>
        <v/>
      </c>
    </row>
    <row r="145" spans="2:11" x14ac:dyDescent="0.3">
      <c r="B145" s="30" t="str">
        <f>IF(LoanIsGood,IF(ROW()-ROW(PaymentSchedule434[[#Headers],[PMT NO]])&gt;ScheduledNumberOfPayments,"",ROW()-ROW(PaymentSchedule434[[#Headers],[PMT NO]])),"")</f>
        <v/>
      </c>
      <c r="C145" s="31" t="str">
        <f>IF(PaymentSchedule434[[#This Row],[PMT NO]]&lt;&gt;"",EOMONTH(LoanStartDate,ROW(PaymentSchedule434[[#This Row],[PMT NO]])-ROW(PaymentSchedule434[[#Headers],[PMT NO]])-2)+DAY(LoanStartDate),"")</f>
        <v/>
      </c>
      <c r="D14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45" s="32" t="str">
        <f>IF(PaymentSchedule434[[#This Row],[PMT NO]]&lt;&gt;"",ScheduledPayment,"")</f>
        <v/>
      </c>
      <c r="F14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4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45" s="32" t="str">
        <f>IF(PaymentSchedule434[[#This Row],[PMT NO]]&lt;&gt;"",PaymentSchedule434[[#This Row],[TOTAL PAYMENT]]-PaymentSchedule434[[#This Row],[INTEREST]],"")</f>
        <v/>
      </c>
      <c r="I145" s="32" t="str">
        <f>IF(PaymentSchedule434[[#This Row],[PMT NO]]&lt;&gt;"",PaymentSchedule434[[#This Row],[BEGINNING BALANCE]]*(InterestRate/PaymentsPerYear),"")</f>
        <v/>
      </c>
      <c r="J14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45" s="32" t="str">
        <f>IF(PaymentSchedule434[[#This Row],[PMT NO]]&lt;&gt;"",SUM(INDEX(PaymentSchedule434[INTEREST],1,1):PaymentSchedule434[[#This Row],[INTEREST]]),"")</f>
        <v/>
      </c>
    </row>
    <row r="146" spans="2:11" x14ac:dyDescent="0.3">
      <c r="B146" s="30" t="str">
        <f>IF(LoanIsGood,IF(ROW()-ROW(PaymentSchedule434[[#Headers],[PMT NO]])&gt;ScheduledNumberOfPayments,"",ROW()-ROW(PaymentSchedule434[[#Headers],[PMT NO]])),"")</f>
        <v/>
      </c>
      <c r="C146" s="31" t="str">
        <f>IF(PaymentSchedule434[[#This Row],[PMT NO]]&lt;&gt;"",EOMONTH(LoanStartDate,ROW(PaymentSchedule434[[#This Row],[PMT NO]])-ROW(PaymentSchedule434[[#Headers],[PMT NO]])-2)+DAY(LoanStartDate),"")</f>
        <v/>
      </c>
      <c r="D14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46" s="32" t="str">
        <f>IF(PaymentSchedule434[[#This Row],[PMT NO]]&lt;&gt;"",ScheduledPayment,"")</f>
        <v/>
      </c>
      <c r="F14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4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46" s="32" t="str">
        <f>IF(PaymentSchedule434[[#This Row],[PMT NO]]&lt;&gt;"",PaymentSchedule434[[#This Row],[TOTAL PAYMENT]]-PaymentSchedule434[[#This Row],[INTEREST]],"")</f>
        <v/>
      </c>
      <c r="I146" s="32" t="str">
        <f>IF(PaymentSchedule434[[#This Row],[PMT NO]]&lt;&gt;"",PaymentSchedule434[[#This Row],[BEGINNING BALANCE]]*(InterestRate/PaymentsPerYear),"")</f>
        <v/>
      </c>
      <c r="J14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46" s="32" t="str">
        <f>IF(PaymentSchedule434[[#This Row],[PMT NO]]&lt;&gt;"",SUM(INDEX(PaymentSchedule434[INTEREST],1,1):PaymentSchedule434[[#This Row],[INTEREST]]),"")</f>
        <v/>
      </c>
    </row>
    <row r="147" spans="2:11" x14ac:dyDescent="0.3">
      <c r="B147" s="30" t="str">
        <f>IF(LoanIsGood,IF(ROW()-ROW(PaymentSchedule434[[#Headers],[PMT NO]])&gt;ScheduledNumberOfPayments,"",ROW()-ROW(PaymentSchedule434[[#Headers],[PMT NO]])),"")</f>
        <v/>
      </c>
      <c r="C147" s="31" t="str">
        <f>IF(PaymentSchedule434[[#This Row],[PMT NO]]&lt;&gt;"",EOMONTH(LoanStartDate,ROW(PaymentSchedule434[[#This Row],[PMT NO]])-ROW(PaymentSchedule434[[#Headers],[PMT NO]])-2)+DAY(LoanStartDate),"")</f>
        <v/>
      </c>
      <c r="D14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47" s="32" t="str">
        <f>IF(PaymentSchedule434[[#This Row],[PMT NO]]&lt;&gt;"",ScheduledPayment,"")</f>
        <v/>
      </c>
      <c r="F14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4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47" s="32" t="str">
        <f>IF(PaymentSchedule434[[#This Row],[PMT NO]]&lt;&gt;"",PaymentSchedule434[[#This Row],[TOTAL PAYMENT]]-PaymentSchedule434[[#This Row],[INTEREST]],"")</f>
        <v/>
      </c>
      <c r="I147" s="32" t="str">
        <f>IF(PaymentSchedule434[[#This Row],[PMT NO]]&lt;&gt;"",PaymentSchedule434[[#This Row],[BEGINNING BALANCE]]*(InterestRate/PaymentsPerYear),"")</f>
        <v/>
      </c>
      <c r="J14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47" s="32" t="str">
        <f>IF(PaymentSchedule434[[#This Row],[PMT NO]]&lt;&gt;"",SUM(INDEX(PaymentSchedule434[INTEREST],1,1):PaymentSchedule434[[#This Row],[INTEREST]]),"")</f>
        <v/>
      </c>
    </row>
    <row r="148" spans="2:11" x14ac:dyDescent="0.3">
      <c r="B148" s="30" t="str">
        <f>IF(LoanIsGood,IF(ROW()-ROW(PaymentSchedule434[[#Headers],[PMT NO]])&gt;ScheduledNumberOfPayments,"",ROW()-ROW(PaymentSchedule434[[#Headers],[PMT NO]])),"")</f>
        <v/>
      </c>
      <c r="C148" s="31" t="str">
        <f>IF(PaymentSchedule434[[#This Row],[PMT NO]]&lt;&gt;"",EOMONTH(LoanStartDate,ROW(PaymentSchedule434[[#This Row],[PMT NO]])-ROW(PaymentSchedule434[[#Headers],[PMT NO]])-2)+DAY(LoanStartDate),"")</f>
        <v/>
      </c>
      <c r="D14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48" s="32" t="str">
        <f>IF(PaymentSchedule434[[#This Row],[PMT NO]]&lt;&gt;"",ScheduledPayment,"")</f>
        <v/>
      </c>
      <c r="F14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4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48" s="32" t="str">
        <f>IF(PaymentSchedule434[[#This Row],[PMT NO]]&lt;&gt;"",PaymentSchedule434[[#This Row],[TOTAL PAYMENT]]-PaymentSchedule434[[#This Row],[INTEREST]],"")</f>
        <v/>
      </c>
      <c r="I148" s="32" t="str">
        <f>IF(PaymentSchedule434[[#This Row],[PMT NO]]&lt;&gt;"",PaymentSchedule434[[#This Row],[BEGINNING BALANCE]]*(InterestRate/PaymentsPerYear),"")</f>
        <v/>
      </c>
      <c r="J14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48" s="32" t="str">
        <f>IF(PaymentSchedule434[[#This Row],[PMT NO]]&lt;&gt;"",SUM(INDEX(PaymentSchedule434[INTEREST],1,1):PaymentSchedule434[[#This Row],[INTEREST]]),"")</f>
        <v/>
      </c>
    </row>
    <row r="149" spans="2:11" x14ac:dyDescent="0.3">
      <c r="B149" s="30" t="str">
        <f>IF(LoanIsGood,IF(ROW()-ROW(PaymentSchedule434[[#Headers],[PMT NO]])&gt;ScheduledNumberOfPayments,"",ROW()-ROW(PaymentSchedule434[[#Headers],[PMT NO]])),"")</f>
        <v/>
      </c>
      <c r="C149" s="31" t="str">
        <f>IF(PaymentSchedule434[[#This Row],[PMT NO]]&lt;&gt;"",EOMONTH(LoanStartDate,ROW(PaymentSchedule434[[#This Row],[PMT NO]])-ROW(PaymentSchedule434[[#Headers],[PMT NO]])-2)+DAY(LoanStartDate),"")</f>
        <v/>
      </c>
      <c r="D14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49" s="32" t="str">
        <f>IF(PaymentSchedule434[[#This Row],[PMT NO]]&lt;&gt;"",ScheduledPayment,"")</f>
        <v/>
      </c>
      <c r="F14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4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49" s="32" t="str">
        <f>IF(PaymentSchedule434[[#This Row],[PMT NO]]&lt;&gt;"",PaymentSchedule434[[#This Row],[TOTAL PAYMENT]]-PaymentSchedule434[[#This Row],[INTEREST]],"")</f>
        <v/>
      </c>
      <c r="I149" s="32" t="str">
        <f>IF(PaymentSchedule434[[#This Row],[PMT NO]]&lt;&gt;"",PaymentSchedule434[[#This Row],[BEGINNING BALANCE]]*(InterestRate/PaymentsPerYear),"")</f>
        <v/>
      </c>
      <c r="J14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49" s="32" t="str">
        <f>IF(PaymentSchedule434[[#This Row],[PMT NO]]&lt;&gt;"",SUM(INDEX(PaymentSchedule434[INTEREST],1,1):PaymentSchedule434[[#This Row],[INTEREST]]),"")</f>
        <v/>
      </c>
    </row>
    <row r="150" spans="2:11" x14ac:dyDescent="0.3">
      <c r="B150" s="30" t="str">
        <f>IF(LoanIsGood,IF(ROW()-ROW(PaymentSchedule434[[#Headers],[PMT NO]])&gt;ScheduledNumberOfPayments,"",ROW()-ROW(PaymentSchedule434[[#Headers],[PMT NO]])),"")</f>
        <v/>
      </c>
      <c r="C150" s="31" t="str">
        <f>IF(PaymentSchedule434[[#This Row],[PMT NO]]&lt;&gt;"",EOMONTH(LoanStartDate,ROW(PaymentSchedule434[[#This Row],[PMT NO]])-ROW(PaymentSchedule434[[#Headers],[PMT NO]])-2)+DAY(LoanStartDate),"")</f>
        <v/>
      </c>
      <c r="D15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50" s="32" t="str">
        <f>IF(PaymentSchedule434[[#This Row],[PMT NO]]&lt;&gt;"",ScheduledPayment,"")</f>
        <v/>
      </c>
      <c r="F15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5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50" s="32" t="str">
        <f>IF(PaymentSchedule434[[#This Row],[PMT NO]]&lt;&gt;"",PaymentSchedule434[[#This Row],[TOTAL PAYMENT]]-PaymentSchedule434[[#This Row],[INTEREST]],"")</f>
        <v/>
      </c>
      <c r="I150" s="32" t="str">
        <f>IF(PaymentSchedule434[[#This Row],[PMT NO]]&lt;&gt;"",PaymentSchedule434[[#This Row],[BEGINNING BALANCE]]*(InterestRate/PaymentsPerYear),"")</f>
        <v/>
      </c>
      <c r="J15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50" s="32" t="str">
        <f>IF(PaymentSchedule434[[#This Row],[PMT NO]]&lt;&gt;"",SUM(INDEX(PaymentSchedule434[INTEREST],1,1):PaymentSchedule434[[#This Row],[INTEREST]]),"")</f>
        <v/>
      </c>
    </row>
    <row r="151" spans="2:11" x14ac:dyDescent="0.3">
      <c r="B151" s="30" t="str">
        <f>IF(LoanIsGood,IF(ROW()-ROW(PaymentSchedule434[[#Headers],[PMT NO]])&gt;ScheduledNumberOfPayments,"",ROW()-ROW(PaymentSchedule434[[#Headers],[PMT NO]])),"")</f>
        <v/>
      </c>
      <c r="C151" s="31" t="str">
        <f>IF(PaymentSchedule434[[#This Row],[PMT NO]]&lt;&gt;"",EOMONTH(LoanStartDate,ROW(PaymentSchedule434[[#This Row],[PMT NO]])-ROW(PaymentSchedule434[[#Headers],[PMT NO]])-2)+DAY(LoanStartDate),"")</f>
        <v/>
      </c>
      <c r="D15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51" s="32" t="str">
        <f>IF(PaymentSchedule434[[#This Row],[PMT NO]]&lt;&gt;"",ScheduledPayment,"")</f>
        <v/>
      </c>
      <c r="F15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5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51" s="32" t="str">
        <f>IF(PaymentSchedule434[[#This Row],[PMT NO]]&lt;&gt;"",PaymentSchedule434[[#This Row],[TOTAL PAYMENT]]-PaymentSchedule434[[#This Row],[INTEREST]],"")</f>
        <v/>
      </c>
      <c r="I151" s="32" t="str">
        <f>IF(PaymentSchedule434[[#This Row],[PMT NO]]&lt;&gt;"",PaymentSchedule434[[#This Row],[BEGINNING BALANCE]]*(InterestRate/PaymentsPerYear),"")</f>
        <v/>
      </c>
      <c r="J15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51" s="32" t="str">
        <f>IF(PaymentSchedule434[[#This Row],[PMT NO]]&lt;&gt;"",SUM(INDEX(PaymentSchedule434[INTEREST],1,1):PaymentSchedule434[[#This Row],[INTEREST]]),"")</f>
        <v/>
      </c>
    </row>
    <row r="152" spans="2:11" x14ac:dyDescent="0.3">
      <c r="B152" s="30" t="str">
        <f>IF(LoanIsGood,IF(ROW()-ROW(PaymentSchedule434[[#Headers],[PMT NO]])&gt;ScheduledNumberOfPayments,"",ROW()-ROW(PaymentSchedule434[[#Headers],[PMT NO]])),"")</f>
        <v/>
      </c>
      <c r="C152" s="31" t="str">
        <f>IF(PaymentSchedule434[[#This Row],[PMT NO]]&lt;&gt;"",EOMONTH(LoanStartDate,ROW(PaymentSchedule434[[#This Row],[PMT NO]])-ROW(PaymentSchedule434[[#Headers],[PMT NO]])-2)+DAY(LoanStartDate),"")</f>
        <v/>
      </c>
      <c r="D15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52" s="32" t="str">
        <f>IF(PaymentSchedule434[[#This Row],[PMT NO]]&lt;&gt;"",ScheduledPayment,"")</f>
        <v/>
      </c>
      <c r="F15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5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52" s="32" t="str">
        <f>IF(PaymentSchedule434[[#This Row],[PMT NO]]&lt;&gt;"",PaymentSchedule434[[#This Row],[TOTAL PAYMENT]]-PaymentSchedule434[[#This Row],[INTEREST]],"")</f>
        <v/>
      </c>
      <c r="I152" s="32" t="str">
        <f>IF(PaymentSchedule434[[#This Row],[PMT NO]]&lt;&gt;"",PaymentSchedule434[[#This Row],[BEGINNING BALANCE]]*(InterestRate/PaymentsPerYear),"")</f>
        <v/>
      </c>
      <c r="J15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52" s="32" t="str">
        <f>IF(PaymentSchedule434[[#This Row],[PMT NO]]&lt;&gt;"",SUM(INDEX(PaymentSchedule434[INTEREST],1,1):PaymentSchedule434[[#This Row],[INTEREST]]),"")</f>
        <v/>
      </c>
    </row>
    <row r="153" spans="2:11" x14ac:dyDescent="0.3">
      <c r="B153" s="30" t="str">
        <f>IF(LoanIsGood,IF(ROW()-ROW(PaymentSchedule434[[#Headers],[PMT NO]])&gt;ScheduledNumberOfPayments,"",ROW()-ROW(PaymentSchedule434[[#Headers],[PMT NO]])),"")</f>
        <v/>
      </c>
      <c r="C153" s="31" t="str">
        <f>IF(PaymentSchedule434[[#This Row],[PMT NO]]&lt;&gt;"",EOMONTH(LoanStartDate,ROW(PaymentSchedule434[[#This Row],[PMT NO]])-ROW(PaymentSchedule434[[#Headers],[PMT NO]])-2)+DAY(LoanStartDate),"")</f>
        <v/>
      </c>
      <c r="D15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53" s="32" t="str">
        <f>IF(PaymentSchedule434[[#This Row],[PMT NO]]&lt;&gt;"",ScheduledPayment,"")</f>
        <v/>
      </c>
      <c r="F15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5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53" s="32" t="str">
        <f>IF(PaymentSchedule434[[#This Row],[PMT NO]]&lt;&gt;"",PaymentSchedule434[[#This Row],[TOTAL PAYMENT]]-PaymentSchedule434[[#This Row],[INTEREST]],"")</f>
        <v/>
      </c>
      <c r="I153" s="32" t="str">
        <f>IF(PaymentSchedule434[[#This Row],[PMT NO]]&lt;&gt;"",PaymentSchedule434[[#This Row],[BEGINNING BALANCE]]*(InterestRate/PaymentsPerYear),"")</f>
        <v/>
      </c>
      <c r="J15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53" s="32" t="str">
        <f>IF(PaymentSchedule434[[#This Row],[PMT NO]]&lt;&gt;"",SUM(INDEX(PaymentSchedule434[INTEREST],1,1):PaymentSchedule434[[#This Row],[INTEREST]]),"")</f>
        <v/>
      </c>
    </row>
    <row r="154" spans="2:11" x14ac:dyDescent="0.3">
      <c r="B154" s="30" t="str">
        <f>IF(LoanIsGood,IF(ROW()-ROW(PaymentSchedule434[[#Headers],[PMT NO]])&gt;ScheduledNumberOfPayments,"",ROW()-ROW(PaymentSchedule434[[#Headers],[PMT NO]])),"")</f>
        <v/>
      </c>
      <c r="C154" s="31" t="str">
        <f>IF(PaymentSchedule434[[#This Row],[PMT NO]]&lt;&gt;"",EOMONTH(LoanStartDate,ROW(PaymentSchedule434[[#This Row],[PMT NO]])-ROW(PaymentSchedule434[[#Headers],[PMT NO]])-2)+DAY(LoanStartDate),"")</f>
        <v/>
      </c>
      <c r="D15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54" s="32" t="str">
        <f>IF(PaymentSchedule434[[#This Row],[PMT NO]]&lt;&gt;"",ScheduledPayment,"")</f>
        <v/>
      </c>
      <c r="F15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5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54" s="32" t="str">
        <f>IF(PaymentSchedule434[[#This Row],[PMT NO]]&lt;&gt;"",PaymentSchedule434[[#This Row],[TOTAL PAYMENT]]-PaymentSchedule434[[#This Row],[INTEREST]],"")</f>
        <v/>
      </c>
      <c r="I154" s="32" t="str">
        <f>IF(PaymentSchedule434[[#This Row],[PMT NO]]&lt;&gt;"",PaymentSchedule434[[#This Row],[BEGINNING BALANCE]]*(InterestRate/PaymentsPerYear),"")</f>
        <v/>
      </c>
      <c r="J15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54" s="32" t="str">
        <f>IF(PaymentSchedule434[[#This Row],[PMT NO]]&lt;&gt;"",SUM(INDEX(PaymentSchedule434[INTEREST],1,1):PaymentSchedule434[[#This Row],[INTEREST]]),"")</f>
        <v/>
      </c>
    </row>
    <row r="155" spans="2:11" x14ac:dyDescent="0.3">
      <c r="B155" s="30" t="str">
        <f>IF(LoanIsGood,IF(ROW()-ROW(PaymentSchedule434[[#Headers],[PMT NO]])&gt;ScheduledNumberOfPayments,"",ROW()-ROW(PaymentSchedule434[[#Headers],[PMT NO]])),"")</f>
        <v/>
      </c>
      <c r="C155" s="31" t="str">
        <f>IF(PaymentSchedule434[[#This Row],[PMT NO]]&lt;&gt;"",EOMONTH(LoanStartDate,ROW(PaymentSchedule434[[#This Row],[PMT NO]])-ROW(PaymentSchedule434[[#Headers],[PMT NO]])-2)+DAY(LoanStartDate),"")</f>
        <v/>
      </c>
      <c r="D15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55" s="32" t="str">
        <f>IF(PaymentSchedule434[[#This Row],[PMT NO]]&lt;&gt;"",ScheduledPayment,"")</f>
        <v/>
      </c>
      <c r="F15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5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55" s="32" t="str">
        <f>IF(PaymentSchedule434[[#This Row],[PMT NO]]&lt;&gt;"",PaymentSchedule434[[#This Row],[TOTAL PAYMENT]]-PaymentSchedule434[[#This Row],[INTEREST]],"")</f>
        <v/>
      </c>
      <c r="I155" s="32" t="str">
        <f>IF(PaymentSchedule434[[#This Row],[PMT NO]]&lt;&gt;"",PaymentSchedule434[[#This Row],[BEGINNING BALANCE]]*(InterestRate/PaymentsPerYear),"")</f>
        <v/>
      </c>
      <c r="J15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55" s="32" t="str">
        <f>IF(PaymentSchedule434[[#This Row],[PMT NO]]&lt;&gt;"",SUM(INDEX(PaymentSchedule434[INTEREST],1,1):PaymentSchedule434[[#This Row],[INTEREST]]),"")</f>
        <v/>
      </c>
    </row>
    <row r="156" spans="2:11" x14ac:dyDescent="0.3">
      <c r="B156" s="30" t="str">
        <f>IF(LoanIsGood,IF(ROW()-ROW(PaymentSchedule434[[#Headers],[PMT NO]])&gt;ScheduledNumberOfPayments,"",ROW()-ROW(PaymentSchedule434[[#Headers],[PMT NO]])),"")</f>
        <v/>
      </c>
      <c r="C156" s="31" t="str">
        <f>IF(PaymentSchedule434[[#This Row],[PMT NO]]&lt;&gt;"",EOMONTH(LoanStartDate,ROW(PaymentSchedule434[[#This Row],[PMT NO]])-ROW(PaymentSchedule434[[#Headers],[PMT NO]])-2)+DAY(LoanStartDate),"")</f>
        <v/>
      </c>
      <c r="D15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56" s="32" t="str">
        <f>IF(PaymentSchedule434[[#This Row],[PMT NO]]&lt;&gt;"",ScheduledPayment,"")</f>
        <v/>
      </c>
      <c r="F15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5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56" s="32" t="str">
        <f>IF(PaymentSchedule434[[#This Row],[PMT NO]]&lt;&gt;"",PaymentSchedule434[[#This Row],[TOTAL PAYMENT]]-PaymentSchedule434[[#This Row],[INTEREST]],"")</f>
        <v/>
      </c>
      <c r="I156" s="32" t="str">
        <f>IF(PaymentSchedule434[[#This Row],[PMT NO]]&lt;&gt;"",PaymentSchedule434[[#This Row],[BEGINNING BALANCE]]*(InterestRate/PaymentsPerYear),"")</f>
        <v/>
      </c>
      <c r="J15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56" s="32" t="str">
        <f>IF(PaymentSchedule434[[#This Row],[PMT NO]]&lt;&gt;"",SUM(INDEX(PaymentSchedule434[INTEREST],1,1):PaymentSchedule434[[#This Row],[INTEREST]]),"")</f>
        <v/>
      </c>
    </row>
    <row r="157" spans="2:11" x14ac:dyDescent="0.3">
      <c r="B157" s="30" t="str">
        <f>IF(LoanIsGood,IF(ROW()-ROW(PaymentSchedule434[[#Headers],[PMT NO]])&gt;ScheduledNumberOfPayments,"",ROW()-ROW(PaymentSchedule434[[#Headers],[PMT NO]])),"")</f>
        <v/>
      </c>
      <c r="C157" s="31" t="str">
        <f>IF(PaymentSchedule434[[#This Row],[PMT NO]]&lt;&gt;"",EOMONTH(LoanStartDate,ROW(PaymentSchedule434[[#This Row],[PMT NO]])-ROW(PaymentSchedule434[[#Headers],[PMT NO]])-2)+DAY(LoanStartDate),"")</f>
        <v/>
      </c>
      <c r="D15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57" s="32" t="str">
        <f>IF(PaymentSchedule434[[#This Row],[PMT NO]]&lt;&gt;"",ScheduledPayment,"")</f>
        <v/>
      </c>
      <c r="F15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5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57" s="32" t="str">
        <f>IF(PaymentSchedule434[[#This Row],[PMT NO]]&lt;&gt;"",PaymentSchedule434[[#This Row],[TOTAL PAYMENT]]-PaymentSchedule434[[#This Row],[INTEREST]],"")</f>
        <v/>
      </c>
      <c r="I157" s="32" t="str">
        <f>IF(PaymentSchedule434[[#This Row],[PMT NO]]&lt;&gt;"",PaymentSchedule434[[#This Row],[BEGINNING BALANCE]]*(InterestRate/PaymentsPerYear),"")</f>
        <v/>
      </c>
      <c r="J15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57" s="32" t="str">
        <f>IF(PaymentSchedule434[[#This Row],[PMT NO]]&lt;&gt;"",SUM(INDEX(PaymentSchedule434[INTEREST],1,1):PaymentSchedule434[[#This Row],[INTEREST]]),"")</f>
        <v/>
      </c>
    </row>
    <row r="158" spans="2:11" x14ac:dyDescent="0.3">
      <c r="B158" s="30" t="str">
        <f>IF(LoanIsGood,IF(ROW()-ROW(PaymentSchedule434[[#Headers],[PMT NO]])&gt;ScheduledNumberOfPayments,"",ROW()-ROW(PaymentSchedule434[[#Headers],[PMT NO]])),"")</f>
        <v/>
      </c>
      <c r="C158" s="31" t="str">
        <f>IF(PaymentSchedule434[[#This Row],[PMT NO]]&lt;&gt;"",EOMONTH(LoanStartDate,ROW(PaymentSchedule434[[#This Row],[PMT NO]])-ROW(PaymentSchedule434[[#Headers],[PMT NO]])-2)+DAY(LoanStartDate),"")</f>
        <v/>
      </c>
      <c r="D15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58" s="32" t="str">
        <f>IF(PaymentSchedule434[[#This Row],[PMT NO]]&lt;&gt;"",ScheduledPayment,"")</f>
        <v/>
      </c>
      <c r="F15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5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58" s="32" t="str">
        <f>IF(PaymentSchedule434[[#This Row],[PMT NO]]&lt;&gt;"",PaymentSchedule434[[#This Row],[TOTAL PAYMENT]]-PaymentSchedule434[[#This Row],[INTEREST]],"")</f>
        <v/>
      </c>
      <c r="I158" s="32" t="str">
        <f>IF(PaymentSchedule434[[#This Row],[PMT NO]]&lt;&gt;"",PaymentSchedule434[[#This Row],[BEGINNING BALANCE]]*(InterestRate/PaymentsPerYear),"")</f>
        <v/>
      </c>
      <c r="J15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58" s="32" t="str">
        <f>IF(PaymentSchedule434[[#This Row],[PMT NO]]&lt;&gt;"",SUM(INDEX(PaymentSchedule434[INTEREST],1,1):PaymentSchedule434[[#This Row],[INTEREST]]),"")</f>
        <v/>
      </c>
    </row>
    <row r="159" spans="2:11" x14ac:dyDescent="0.3">
      <c r="B159" s="30" t="str">
        <f>IF(LoanIsGood,IF(ROW()-ROW(PaymentSchedule434[[#Headers],[PMT NO]])&gt;ScheduledNumberOfPayments,"",ROW()-ROW(PaymentSchedule434[[#Headers],[PMT NO]])),"")</f>
        <v/>
      </c>
      <c r="C159" s="31" t="str">
        <f>IF(PaymentSchedule434[[#This Row],[PMT NO]]&lt;&gt;"",EOMONTH(LoanStartDate,ROW(PaymentSchedule434[[#This Row],[PMT NO]])-ROW(PaymentSchedule434[[#Headers],[PMT NO]])-2)+DAY(LoanStartDate),"")</f>
        <v/>
      </c>
      <c r="D15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59" s="32" t="str">
        <f>IF(PaymentSchedule434[[#This Row],[PMT NO]]&lt;&gt;"",ScheduledPayment,"")</f>
        <v/>
      </c>
      <c r="F15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5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59" s="32" t="str">
        <f>IF(PaymentSchedule434[[#This Row],[PMT NO]]&lt;&gt;"",PaymentSchedule434[[#This Row],[TOTAL PAYMENT]]-PaymentSchedule434[[#This Row],[INTEREST]],"")</f>
        <v/>
      </c>
      <c r="I159" s="32" t="str">
        <f>IF(PaymentSchedule434[[#This Row],[PMT NO]]&lt;&gt;"",PaymentSchedule434[[#This Row],[BEGINNING BALANCE]]*(InterestRate/PaymentsPerYear),"")</f>
        <v/>
      </c>
      <c r="J15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59" s="32" t="str">
        <f>IF(PaymentSchedule434[[#This Row],[PMT NO]]&lt;&gt;"",SUM(INDEX(PaymentSchedule434[INTEREST],1,1):PaymentSchedule434[[#This Row],[INTEREST]]),"")</f>
        <v/>
      </c>
    </row>
    <row r="160" spans="2:11" x14ac:dyDescent="0.3">
      <c r="B160" s="30" t="str">
        <f>IF(LoanIsGood,IF(ROW()-ROW(PaymentSchedule434[[#Headers],[PMT NO]])&gt;ScheduledNumberOfPayments,"",ROW()-ROW(PaymentSchedule434[[#Headers],[PMT NO]])),"")</f>
        <v/>
      </c>
      <c r="C160" s="31" t="str">
        <f>IF(PaymentSchedule434[[#This Row],[PMT NO]]&lt;&gt;"",EOMONTH(LoanStartDate,ROW(PaymentSchedule434[[#This Row],[PMT NO]])-ROW(PaymentSchedule434[[#Headers],[PMT NO]])-2)+DAY(LoanStartDate),"")</f>
        <v/>
      </c>
      <c r="D16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60" s="32" t="str">
        <f>IF(PaymentSchedule434[[#This Row],[PMT NO]]&lt;&gt;"",ScheduledPayment,"")</f>
        <v/>
      </c>
      <c r="F16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6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60" s="32" t="str">
        <f>IF(PaymentSchedule434[[#This Row],[PMT NO]]&lt;&gt;"",PaymentSchedule434[[#This Row],[TOTAL PAYMENT]]-PaymentSchedule434[[#This Row],[INTEREST]],"")</f>
        <v/>
      </c>
      <c r="I160" s="32" t="str">
        <f>IF(PaymentSchedule434[[#This Row],[PMT NO]]&lt;&gt;"",PaymentSchedule434[[#This Row],[BEGINNING BALANCE]]*(InterestRate/PaymentsPerYear),"")</f>
        <v/>
      </c>
      <c r="J16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60" s="32" t="str">
        <f>IF(PaymentSchedule434[[#This Row],[PMT NO]]&lt;&gt;"",SUM(INDEX(PaymentSchedule434[INTEREST],1,1):PaymentSchedule434[[#This Row],[INTEREST]]),"")</f>
        <v/>
      </c>
    </row>
    <row r="161" spans="2:11" x14ac:dyDescent="0.3">
      <c r="B161" s="30" t="str">
        <f>IF(LoanIsGood,IF(ROW()-ROW(PaymentSchedule434[[#Headers],[PMT NO]])&gt;ScheduledNumberOfPayments,"",ROW()-ROW(PaymentSchedule434[[#Headers],[PMT NO]])),"")</f>
        <v/>
      </c>
      <c r="C161" s="31" t="str">
        <f>IF(PaymentSchedule434[[#This Row],[PMT NO]]&lt;&gt;"",EOMONTH(LoanStartDate,ROW(PaymentSchedule434[[#This Row],[PMT NO]])-ROW(PaymentSchedule434[[#Headers],[PMT NO]])-2)+DAY(LoanStartDate),"")</f>
        <v/>
      </c>
      <c r="D16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61" s="32" t="str">
        <f>IF(PaymentSchedule434[[#This Row],[PMT NO]]&lt;&gt;"",ScheduledPayment,"")</f>
        <v/>
      </c>
      <c r="F16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6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61" s="32" t="str">
        <f>IF(PaymentSchedule434[[#This Row],[PMT NO]]&lt;&gt;"",PaymentSchedule434[[#This Row],[TOTAL PAYMENT]]-PaymentSchedule434[[#This Row],[INTEREST]],"")</f>
        <v/>
      </c>
      <c r="I161" s="32" t="str">
        <f>IF(PaymentSchedule434[[#This Row],[PMT NO]]&lt;&gt;"",PaymentSchedule434[[#This Row],[BEGINNING BALANCE]]*(InterestRate/PaymentsPerYear),"")</f>
        <v/>
      </c>
      <c r="J16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61" s="32" t="str">
        <f>IF(PaymentSchedule434[[#This Row],[PMT NO]]&lt;&gt;"",SUM(INDEX(PaymentSchedule434[INTEREST],1,1):PaymentSchedule434[[#This Row],[INTEREST]]),"")</f>
        <v/>
      </c>
    </row>
    <row r="162" spans="2:11" x14ac:dyDescent="0.3">
      <c r="B162" s="30" t="str">
        <f>IF(LoanIsGood,IF(ROW()-ROW(PaymentSchedule434[[#Headers],[PMT NO]])&gt;ScheduledNumberOfPayments,"",ROW()-ROW(PaymentSchedule434[[#Headers],[PMT NO]])),"")</f>
        <v/>
      </c>
      <c r="C162" s="31" t="str">
        <f>IF(PaymentSchedule434[[#This Row],[PMT NO]]&lt;&gt;"",EOMONTH(LoanStartDate,ROW(PaymentSchedule434[[#This Row],[PMT NO]])-ROW(PaymentSchedule434[[#Headers],[PMT NO]])-2)+DAY(LoanStartDate),"")</f>
        <v/>
      </c>
      <c r="D16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62" s="32" t="str">
        <f>IF(PaymentSchedule434[[#This Row],[PMT NO]]&lt;&gt;"",ScheduledPayment,"")</f>
        <v/>
      </c>
      <c r="F16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6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62" s="32" t="str">
        <f>IF(PaymentSchedule434[[#This Row],[PMT NO]]&lt;&gt;"",PaymentSchedule434[[#This Row],[TOTAL PAYMENT]]-PaymentSchedule434[[#This Row],[INTEREST]],"")</f>
        <v/>
      </c>
      <c r="I162" s="32" t="str">
        <f>IF(PaymentSchedule434[[#This Row],[PMT NO]]&lt;&gt;"",PaymentSchedule434[[#This Row],[BEGINNING BALANCE]]*(InterestRate/PaymentsPerYear),"")</f>
        <v/>
      </c>
      <c r="J16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62" s="32" t="str">
        <f>IF(PaymentSchedule434[[#This Row],[PMT NO]]&lt;&gt;"",SUM(INDEX(PaymentSchedule434[INTEREST],1,1):PaymentSchedule434[[#This Row],[INTEREST]]),"")</f>
        <v/>
      </c>
    </row>
    <row r="163" spans="2:11" x14ac:dyDescent="0.3">
      <c r="B163" s="30" t="str">
        <f>IF(LoanIsGood,IF(ROW()-ROW(PaymentSchedule434[[#Headers],[PMT NO]])&gt;ScheduledNumberOfPayments,"",ROW()-ROW(PaymentSchedule434[[#Headers],[PMT NO]])),"")</f>
        <v/>
      </c>
      <c r="C163" s="31" t="str">
        <f>IF(PaymentSchedule434[[#This Row],[PMT NO]]&lt;&gt;"",EOMONTH(LoanStartDate,ROW(PaymentSchedule434[[#This Row],[PMT NO]])-ROW(PaymentSchedule434[[#Headers],[PMT NO]])-2)+DAY(LoanStartDate),"")</f>
        <v/>
      </c>
      <c r="D16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63" s="32" t="str">
        <f>IF(PaymentSchedule434[[#This Row],[PMT NO]]&lt;&gt;"",ScheduledPayment,"")</f>
        <v/>
      </c>
      <c r="F16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6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63" s="32" t="str">
        <f>IF(PaymentSchedule434[[#This Row],[PMT NO]]&lt;&gt;"",PaymentSchedule434[[#This Row],[TOTAL PAYMENT]]-PaymentSchedule434[[#This Row],[INTEREST]],"")</f>
        <v/>
      </c>
      <c r="I163" s="32" t="str">
        <f>IF(PaymentSchedule434[[#This Row],[PMT NO]]&lt;&gt;"",PaymentSchedule434[[#This Row],[BEGINNING BALANCE]]*(InterestRate/PaymentsPerYear),"")</f>
        <v/>
      </c>
      <c r="J16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63" s="32" t="str">
        <f>IF(PaymentSchedule434[[#This Row],[PMT NO]]&lt;&gt;"",SUM(INDEX(PaymentSchedule434[INTEREST],1,1):PaymentSchedule434[[#This Row],[INTEREST]]),"")</f>
        <v/>
      </c>
    </row>
    <row r="164" spans="2:11" x14ac:dyDescent="0.3">
      <c r="B164" s="30" t="str">
        <f>IF(LoanIsGood,IF(ROW()-ROW(PaymentSchedule434[[#Headers],[PMT NO]])&gt;ScheduledNumberOfPayments,"",ROW()-ROW(PaymentSchedule434[[#Headers],[PMT NO]])),"")</f>
        <v/>
      </c>
      <c r="C164" s="31" t="str">
        <f>IF(PaymentSchedule434[[#This Row],[PMT NO]]&lt;&gt;"",EOMONTH(LoanStartDate,ROW(PaymentSchedule434[[#This Row],[PMT NO]])-ROW(PaymentSchedule434[[#Headers],[PMT NO]])-2)+DAY(LoanStartDate),"")</f>
        <v/>
      </c>
      <c r="D16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64" s="32" t="str">
        <f>IF(PaymentSchedule434[[#This Row],[PMT NO]]&lt;&gt;"",ScheduledPayment,"")</f>
        <v/>
      </c>
      <c r="F16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6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64" s="32" t="str">
        <f>IF(PaymentSchedule434[[#This Row],[PMT NO]]&lt;&gt;"",PaymentSchedule434[[#This Row],[TOTAL PAYMENT]]-PaymentSchedule434[[#This Row],[INTEREST]],"")</f>
        <v/>
      </c>
      <c r="I164" s="32" t="str">
        <f>IF(PaymentSchedule434[[#This Row],[PMT NO]]&lt;&gt;"",PaymentSchedule434[[#This Row],[BEGINNING BALANCE]]*(InterestRate/PaymentsPerYear),"")</f>
        <v/>
      </c>
      <c r="J16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64" s="32" t="str">
        <f>IF(PaymentSchedule434[[#This Row],[PMT NO]]&lt;&gt;"",SUM(INDEX(PaymentSchedule434[INTEREST],1,1):PaymentSchedule434[[#This Row],[INTEREST]]),"")</f>
        <v/>
      </c>
    </row>
    <row r="165" spans="2:11" x14ac:dyDescent="0.3">
      <c r="B165" s="30" t="str">
        <f>IF(LoanIsGood,IF(ROW()-ROW(PaymentSchedule434[[#Headers],[PMT NO]])&gt;ScheduledNumberOfPayments,"",ROW()-ROW(PaymentSchedule434[[#Headers],[PMT NO]])),"")</f>
        <v/>
      </c>
      <c r="C165" s="31" t="str">
        <f>IF(PaymentSchedule434[[#This Row],[PMT NO]]&lt;&gt;"",EOMONTH(LoanStartDate,ROW(PaymentSchedule434[[#This Row],[PMT NO]])-ROW(PaymentSchedule434[[#Headers],[PMT NO]])-2)+DAY(LoanStartDate),"")</f>
        <v/>
      </c>
      <c r="D16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65" s="32" t="str">
        <f>IF(PaymentSchedule434[[#This Row],[PMT NO]]&lt;&gt;"",ScheduledPayment,"")</f>
        <v/>
      </c>
      <c r="F16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6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65" s="32" t="str">
        <f>IF(PaymentSchedule434[[#This Row],[PMT NO]]&lt;&gt;"",PaymentSchedule434[[#This Row],[TOTAL PAYMENT]]-PaymentSchedule434[[#This Row],[INTEREST]],"")</f>
        <v/>
      </c>
      <c r="I165" s="32" t="str">
        <f>IF(PaymentSchedule434[[#This Row],[PMT NO]]&lt;&gt;"",PaymentSchedule434[[#This Row],[BEGINNING BALANCE]]*(InterestRate/PaymentsPerYear),"")</f>
        <v/>
      </c>
      <c r="J16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65" s="32" t="str">
        <f>IF(PaymentSchedule434[[#This Row],[PMT NO]]&lt;&gt;"",SUM(INDEX(PaymentSchedule434[INTEREST],1,1):PaymentSchedule434[[#This Row],[INTEREST]]),"")</f>
        <v/>
      </c>
    </row>
    <row r="166" spans="2:11" x14ac:dyDescent="0.3">
      <c r="B166" s="30" t="str">
        <f>IF(LoanIsGood,IF(ROW()-ROW(PaymentSchedule434[[#Headers],[PMT NO]])&gt;ScheduledNumberOfPayments,"",ROW()-ROW(PaymentSchedule434[[#Headers],[PMT NO]])),"")</f>
        <v/>
      </c>
      <c r="C166" s="31" t="str">
        <f>IF(PaymentSchedule434[[#This Row],[PMT NO]]&lt;&gt;"",EOMONTH(LoanStartDate,ROW(PaymentSchedule434[[#This Row],[PMT NO]])-ROW(PaymentSchedule434[[#Headers],[PMT NO]])-2)+DAY(LoanStartDate),"")</f>
        <v/>
      </c>
      <c r="D16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66" s="32" t="str">
        <f>IF(PaymentSchedule434[[#This Row],[PMT NO]]&lt;&gt;"",ScheduledPayment,"")</f>
        <v/>
      </c>
      <c r="F16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6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66" s="32" t="str">
        <f>IF(PaymentSchedule434[[#This Row],[PMT NO]]&lt;&gt;"",PaymentSchedule434[[#This Row],[TOTAL PAYMENT]]-PaymentSchedule434[[#This Row],[INTEREST]],"")</f>
        <v/>
      </c>
      <c r="I166" s="32" t="str">
        <f>IF(PaymentSchedule434[[#This Row],[PMT NO]]&lt;&gt;"",PaymentSchedule434[[#This Row],[BEGINNING BALANCE]]*(InterestRate/PaymentsPerYear),"")</f>
        <v/>
      </c>
      <c r="J16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66" s="32" t="str">
        <f>IF(PaymentSchedule434[[#This Row],[PMT NO]]&lt;&gt;"",SUM(INDEX(PaymentSchedule434[INTEREST],1,1):PaymentSchedule434[[#This Row],[INTEREST]]),"")</f>
        <v/>
      </c>
    </row>
    <row r="167" spans="2:11" x14ac:dyDescent="0.3">
      <c r="B167" s="30" t="str">
        <f>IF(LoanIsGood,IF(ROW()-ROW(PaymentSchedule434[[#Headers],[PMT NO]])&gt;ScheduledNumberOfPayments,"",ROW()-ROW(PaymentSchedule434[[#Headers],[PMT NO]])),"")</f>
        <v/>
      </c>
      <c r="C167" s="31" t="str">
        <f>IF(PaymentSchedule434[[#This Row],[PMT NO]]&lt;&gt;"",EOMONTH(LoanStartDate,ROW(PaymentSchedule434[[#This Row],[PMT NO]])-ROW(PaymentSchedule434[[#Headers],[PMT NO]])-2)+DAY(LoanStartDate),"")</f>
        <v/>
      </c>
      <c r="D16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67" s="32" t="str">
        <f>IF(PaymentSchedule434[[#This Row],[PMT NO]]&lt;&gt;"",ScheduledPayment,"")</f>
        <v/>
      </c>
      <c r="F16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6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67" s="32" t="str">
        <f>IF(PaymentSchedule434[[#This Row],[PMT NO]]&lt;&gt;"",PaymentSchedule434[[#This Row],[TOTAL PAYMENT]]-PaymentSchedule434[[#This Row],[INTEREST]],"")</f>
        <v/>
      </c>
      <c r="I167" s="32" t="str">
        <f>IF(PaymentSchedule434[[#This Row],[PMT NO]]&lt;&gt;"",PaymentSchedule434[[#This Row],[BEGINNING BALANCE]]*(InterestRate/PaymentsPerYear),"")</f>
        <v/>
      </c>
      <c r="J16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67" s="32" t="str">
        <f>IF(PaymentSchedule434[[#This Row],[PMT NO]]&lt;&gt;"",SUM(INDEX(PaymentSchedule434[INTEREST],1,1):PaymentSchedule434[[#This Row],[INTEREST]]),"")</f>
        <v/>
      </c>
    </row>
    <row r="168" spans="2:11" x14ac:dyDescent="0.3">
      <c r="B168" s="30" t="str">
        <f>IF(LoanIsGood,IF(ROW()-ROW(PaymentSchedule434[[#Headers],[PMT NO]])&gt;ScheduledNumberOfPayments,"",ROW()-ROW(PaymentSchedule434[[#Headers],[PMT NO]])),"")</f>
        <v/>
      </c>
      <c r="C168" s="31" t="str">
        <f>IF(PaymentSchedule434[[#This Row],[PMT NO]]&lt;&gt;"",EOMONTH(LoanStartDate,ROW(PaymentSchedule434[[#This Row],[PMT NO]])-ROW(PaymentSchedule434[[#Headers],[PMT NO]])-2)+DAY(LoanStartDate),"")</f>
        <v/>
      </c>
      <c r="D16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68" s="32" t="str">
        <f>IF(PaymentSchedule434[[#This Row],[PMT NO]]&lt;&gt;"",ScheduledPayment,"")</f>
        <v/>
      </c>
      <c r="F16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6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68" s="32" t="str">
        <f>IF(PaymentSchedule434[[#This Row],[PMT NO]]&lt;&gt;"",PaymentSchedule434[[#This Row],[TOTAL PAYMENT]]-PaymentSchedule434[[#This Row],[INTEREST]],"")</f>
        <v/>
      </c>
      <c r="I168" s="32" t="str">
        <f>IF(PaymentSchedule434[[#This Row],[PMT NO]]&lt;&gt;"",PaymentSchedule434[[#This Row],[BEGINNING BALANCE]]*(InterestRate/PaymentsPerYear),"")</f>
        <v/>
      </c>
      <c r="J16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68" s="32" t="str">
        <f>IF(PaymentSchedule434[[#This Row],[PMT NO]]&lt;&gt;"",SUM(INDEX(PaymentSchedule434[INTEREST],1,1):PaymentSchedule434[[#This Row],[INTEREST]]),"")</f>
        <v/>
      </c>
    </row>
    <row r="169" spans="2:11" x14ac:dyDescent="0.3">
      <c r="B169" s="30" t="str">
        <f>IF(LoanIsGood,IF(ROW()-ROW(PaymentSchedule434[[#Headers],[PMT NO]])&gt;ScheduledNumberOfPayments,"",ROW()-ROW(PaymentSchedule434[[#Headers],[PMT NO]])),"")</f>
        <v/>
      </c>
      <c r="C169" s="31" t="str">
        <f>IF(PaymentSchedule434[[#This Row],[PMT NO]]&lt;&gt;"",EOMONTH(LoanStartDate,ROW(PaymentSchedule434[[#This Row],[PMT NO]])-ROW(PaymentSchedule434[[#Headers],[PMT NO]])-2)+DAY(LoanStartDate),"")</f>
        <v/>
      </c>
      <c r="D16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69" s="32" t="str">
        <f>IF(PaymentSchedule434[[#This Row],[PMT NO]]&lt;&gt;"",ScheduledPayment,"")</f>
        <v/>
      </c>
      <c r="F16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6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69" s="32" t="str">
        <f>IF(PaymentSchedule434[[#This Row],[PMT NO]]&lt;&gt;"",PaymentSchedule434[[#This Row],[TOTAL PAYMENT]]-PaymentSchedule434[[#This Row],[INTEREST]],"")</f>
        <v/>
      </c>
      <c r="I169" s="32" t="str">
        <f>IF(PaymentSchedule434[[#This Row],[PMT NO]]&lt;&gt;"",PaymentSchedule434[[#This Row],[BEGINNING BALANCE]]*(InterestRate/PaymentsPerYear),"")</f>
        <v/>
      </c>
      <c r="J16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69" s="32" t="str">
        <f>IF(PaymentSchedule434[[#This Row],[PMT NO]]&lt;&gt;"",SUM(INDEX(PaymentSchedule434[INTEREST],1,1):PaymentSchedule434[[#This Row],[INTEREST]]),"")</f>
        <v/>
      </c>
    </row>
    <row r="170" spans="2:11" x14ac:dyDescent="0.3">
      <c r="B170" s="30" t="str">
        <f>IF(LoanIsGood,IF(ROW()-ROW(PaymentSchedule434[[#Headers],[PMT NO]])&gt;ScheduledNumberOfPayments,"",ROW()-ROW(PaymentSchedule434[[#Headers],[PMT NO]])),"")</f>
        <v/>
      </c>
      <c r="C170" s="31" t="str">
        <f>IF(PaymentSchedule434[[#This Row],[PMT NO]]&lt;&gt;"",EOMONTH(LoanStartDate,ROW(PaymentSchedule434[[#This Row],[PMT NO]])-ROW(PaymentSchedule434[[#Headers],[PMT NO]])-2)+DAY(LoanStartDate),"")</f>
        <v/>
      </c>
      <c r="D17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70" s="32" t="str">
        <f>IF(PaymentSchedule434[[#This Row],[PMT NO]]&lt;&gt;"",ScheduledPayment,"")</f>
        <v/>
      </c>
      <c r="F17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7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70" s="32" t="str">
        <f>IF(PaymentSchedule434[[#This Row],[PMT NO]]&lt;&gt;"",PaymentSchedule434[[#This Row],[TOTAL PAYMENT]]-PaymentSchedule434[[#This Row],[INTEREST]],"")</f>
        <v/>
      </c>
      <c r="I170" s="32" t="str">
        <f>IF(PaymentSchedule434[[#This Row],[PMT NO]]&lt;&gt;"",PaymentSchedule434[[#This Row],[BEGINNING BALANCE]]*(InterestRate/PaymentsPerYear),"")</f>
        <v/>
      </c>
      <c r="J17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70" s="32" t="str">
        <f>IF(PaymentSchedule434[[#This Row],[PMT NO]]&lt;&gt;"",SUM(INDEX(PaymentSchedule434[INTEREST],1,1):PaymentSchedule434[[#This Row],[INTEREST]]),"")</f>
        <v/>
      </c>
    </row>
    <row r="171" spans="2:11" x14ac:dyDescent="0.3">
      <c r="B171" s="30" t="str">
        <f>IF(LoanIsGood,IF(ROW()-ROW(PaymentSchedule434[[#Headers],[PMT NO]])&gt;ScheduledNumberOfPayments,"",ROW()-ROW(PaymentSchedule434[[#Headers],[PMT NO]])),"")</f>
        <v/>
      </c>
      <c r="C171" s="31" t="str">
        <f>IF(PaymentSchedule434[[#This Row],[PMT NO]]&lt;&gt;"",EOMONTH(LoanStartDate,ROW(PaymentSchedule434[[#This Row],[PMT NO]])-ROW(PaymentSchedule434[[#Headers],[PMT NO]])-2)+DAY(LoanStartDate),"")</f>
        <v/>
      </c>
      <c r="D17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71" s="32" t="str">
        <f>IF(PaymentSchedule434[[#This Row],[PMT NO]]&lt;&gt;"",ScheduledPayment,"")</f>
        <v/>
      </c>
      <c r="F17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7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71" s="32" t="str">
        <f>IF(PaymentSchedule434[[#This Row],[PMT NO]]&lt;&gt;"",PaymentSchedule434[[#This Row],[TOTAL PAYMENT]]-PaymentSchedule434[[#This Row],[INTEREST]],"")</f>
        <v/>
      </c>
      <c r="I171" s="32" t="str">
        <f>IF(PaymentSchedule434[[#This Row],[PMT NO]]&lt;&gt;"",PaymentSchedule434[[#This Row],[BEGINNING BALANCE]]*(InterestRate/PaymentsPerYear),"")</f>
        <v/>
      </c>
      <c r="J17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71" s="32" t="str">
        <f>IF(PaymentSchedule434[[#This Row],[PMT NO]]&lt;&gt;"",SUM(INDEX(PaymentSchedule434[INTEREST],1,1):PaymentSchedule434[[#This Row],[INTEREST]]),"")</f>
        <v/>
      </c>
    </row>
    <row r="172" spans="2:11" x14ac:dyDescent="0.3">
      <c r="B172" s="30" t="str">
        <f>IF(LoanIsGood,IF(ROW()-ROW(PaymentSchedule434[[#Headers],[PMT NO]])&gt;ScheduledNumberOfPayments,"",ROW()-ROW(PaymentSchedule434[[#Headers],[PMT NO]])),"")</f>
        <v/>
      </c>
      <c r="C172" s="31" t="str">
        <f>IF(PaymentSchedule434[[#This Row],[PMT NO]]&lt;&gt;"",EOMONTH(LoanStartDate,ROW(PaymentSchedule434[[#This Row],[PMT NO]])-ROW(PaymentSchedule434[[#Headers],[PMT NO]])-2)+DAY(LoanStartDate),"")</f>
        <v/>
      </c>
      <c r="D17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72" s="32" t="str">
        <f>IF(PaymentSchedule434[[#This Row],[PMT NO]]&lt;&gt;"",ScheduledPayment,"")</f>
        <v/>
      </c>
      <c r="F17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7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72" s="32" t="str">
        <f>IF(PaymentSchedule434[[#This Row],[PMT NO]]&lt;&gt;"",PaymentSchedule434[[#This Row],[TOTAL PAYMENT]]-PaymentSchedule434[[#This Row],[INTEREST]],"")</f>
        <v/>
      </c>
      <c r="I172" s="32" t="str">
        <f>IF(PaymentSchedule434[[#This Row],[PMT NO]]&lt;&gt;"",PaymentSchedule434[[#This Row],[BEGINNING BALANCE]]*(InterestRate/PaymentsPerYear),"")</f>
        <v/>
      </c>
      <c r="J17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72" s="32" t="str">
        <f>IF(PaymentSchedule434[[#This Row],[PMT NO]]&lt;&gt;"",SUM(INDEX(PaymentSchedule434[INTEREST],1,1):PaymentSchedule434[[#This Row],[INTEREST]]),"")</f>
        <v/>
      </c>
    </row>
    <row r="173" spans="2:11" x14ac:dyDescent="0.3">
      <c r="B173" s="30" t="str">
        <f>IF(LoanIsGood,IF(ROW()-ROW(PaymentSchedule434[[#Headers],[PMT NO]])&gt;ScheduledNumberOfPayments,"",ROW()-ROW(PaymentSchedule434[[#Headers],[PMT NO]])),"")</f>
        <v/>
      </c>
      <c r="C173" s="31" t="str">
        <f>IF(PaymentSchedule434[[#This Row],[PMT NO]]&lt;&gt;"",EOMONTH(LoanStartDate,ROW(PaymentSchedule434[[#This Row],[PMT NO]])-ROW(PaymentSchedule434[[#Headers],[PMT NO]])-2)+DAY(LoanStartDate),"")</f>
        <v/>
      </c>
      <c r="D17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73" s="32" t="str">
        <f>IF(PaymentSchedule434[[#This Row],[PMT NO]]&lt;&gt;"",ScheduledPayment,"")</f>
        <v/>
      </c>
      <c r="F17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7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73" s="32" t="str">
        <f>IF(PaymentSchedule434[[#This Row],[PMT NO]]&lt;&gt;"",PaymentSchedule434[[#This Row],[TOTAL PAYMENT]]-PaymentSchedule434[[#This Row],[INTEREST]],"")</f>
        <v/>
      </c>
      <c r="I173" s="32" t="str">
        <f>IF(PaymentSchedule434[[#This Row],[PMT NO]]&lt;&gt;"",PaymentSchedule434[[#This Row],[BEGINNING BALANCE]]*(InterestRate/PaymentsPerYear),"")</f>
        <v/>
      </c>
      <c r="J17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73" s="32" t="str">
        <f>IF(PaymentSchedule434[[#This Row],[PMT NO]]&lt;&gt;"",SUM(INDEX(PaymentSchedule434[INTEREST],1,1):PaymentSchedule434[[#This Row],[INTEREST]]),"")</f>
        <v/>
      </c>
    </row>
    <row r="174" spans="2:11" x14ac:dyDescent="0.3">
      <c r="B174" s="30" t="str">
        <f>IF(LoanIsGood,IF(ROW()-ROW(PaymentSchedule434[[#Headers],[PMT NO]])&gt;ScheduledNumberOfPayments,"",ROW()-ROW(PaymentSchedule434[[#Headers],[PMT NO]])),"")</f>
        <v/>
      </c>
      <c r="C174" s="31" t="str">
        <f>IF(PaymentSchedule434[[#This Row],[PMT NO]]&lt;&gt;"",EOMONTH(LoanStartDate,ROW(PaymentSchedule434[[#This Row],[PMT NO]])-ROW(PaymentSchedule434[[#Headers],[PMT NO]])-2)+DAY(LoanStartDate),"")</f>
        <v/>
      </c>
      <c r="D17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74" s="32" t="str">
        <f>IF(PaymentSchedule434[[#This Row],[PMT NO]]&lt;&gt;"",ScheduledPayment,"")</f>
        <v/>
      </c>
      <c r="F17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7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74" s="32" t="str">
        <f>IF(PaymentSchedule434[[#This Row],[PMT NO]]&lt;&gt;"",PaymentSchedule434[[#This Row],[TOTAL PAYMENT]]-PaymentSchedule434[[#This Row],[INTEREST]],"")</f>
        <v/>
      </c>
      <c r="I174" s="32" t="str">
        <f>IF(PaymentSchedule434[[#This Row],[PMT NO]]&lt;&gt;"",PaymentSchedule434[[#This Row],[BEGINNING BALANCE]]*(InterestRate/PaymentsPerYear),"")</f>
        <v/>
      </c>
      <c r="J17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74" s="32" t="str">
        <f>IF(PaymentSchedule434[[#This Row],[PMT NO]]&lt;&gt;"",SUM(INDEX(PaymentSchedule434[INTEREST],1,1):PaymentSchedule434[[#This Row],[INTEREST]]),"")</f>
        <v/>
      </c>
    </row>
    <row r="175" spans="2:11" x14ac:dyDescent="0.3">
      <c r="B175" s="30" t="str">
        <f>IF(LoanIsGood,IF(ROW()-ROW(PaymentSchedule434[[#Headers],[PMT NO]])&gt;ScheduledNumberOfPayments,"",ROW()-ROW(PaymentSchedule434[[#Headers],[PMT NO]])),"")</f>
        <v/>
      </c>
      <c r="C175" s="31" t="str">
        <f>IF(PaymentSchedule434[[#This Row],[PMT NO]]&lt;&gt;"",EOMONTH(LoanStartDate,ROW(PaymentSchedule434[[#This Row],[PMT NO]])-ROW(PaymentSchedule434[[#Headers],[PMT NO]])-2)+DAY(LoanStartDate),"")</f>
        <v/>
      </c>
      <c r="D17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75" s="32" t="str">
        <f>IF(PaymentSchedule434[[#This Row],[PMT NO]]&lt;&gt;"",ScheduledPayment,"")</f>
        <v/>
      </c>
      <c r="F17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7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75" s="32" t="str">
        <f>IF(PaymentSchedule434[[#This Row],[PMT NO]]&lt;&gt;"",PaymentSchedule434[[#This Row],[TOTAL PAYMENT]]-PaymentSchedule434[[#This Row],[INTEREST]],"")</f>
        <v/>
      </c>
      <c r="I175" s="32" t="str">
        <f>IF(PaymentSchedule434[[#This Row],[PMT NO]]&lt;&gt;"",PaymentSchedule434[[#This Row],[BEGINNING BALANCE]]*(InterestRate/PaymentsPerYear),"")</f>
        <v/>
      </c>
      <c r="J17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75" s="32" t="str">
        <f>IF(PaymentSchedule434[[#This Row],[PMT NO]]&lt;&gt;"",SUM(INDEX(PaymentSchedule434[INTEREST],1,1):PaymentSchedule434[[#This Row],[INTEREST]]),"")</f>
        <v/>
      </c>
    </row>
    <row r="176" spans="2:11" x14ac:dyDescent="0.3">
      <c r="B176" s="30" t="str">
        <f>IF(LoanIsGood,IF(ROW()-ROW(PaymentSchedule434[[#Headers],[PMT NO]])&gt;ScheduledNumberOfPayments,"",ROW()-ROW(PaymentSchedule434[[#Headers],[PMT NO]])),"")</f>
        <v/>
      </c>
      <c r="C176" s="31" t="str">
        <f>IF(PaymentSchedule434[[#This Row],[PMT NO]]&lt;&gt;"",EOMONTH(LoanStartDate,ROW(PaymentSchedule434[[#This Row],[PMT NO]])-ROW(PaymentSchedule434[[#Headers],[PMT NO]])-2)+DAY(LoanStartDate),"")</f>
        <v/>
      </c>
      <c r="D17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76" s="32" t="str">
        <f>IF(PaymentSchedule434[[#This Row],[PMT NO]]&lt;&gt;"",ScheduledPayment,"")</f>
        <v/>
      </c>
      <c r="F17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7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76" s="32" t="str">
        <f>IF(PaymentSchedule434[[#This Row],[PMT NO]]&lt;&gt;"",PaymentSchedule434[[#This Row],[TOTAL PAYMENT]]-PaymentSchedule434[[#This Row],[INTEREST]],"")</f>
        <v/>
      </c>
      <c r="I176" s="32" t="str">
        <f>IF(PaymentSchedule434[[#This Row],[PMT NO]]&lt;&gt;"",PaymentSchedule434[[#This Row],[BEGINNING BALANCE]]*(InterestRate/PaymentsPerYear),"")</f>
        <v/>
      </c>
      <c r="J17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76" s="32" t="str">
        <f>IF(PaymentSchedule434[[#This Row],[PMT NO]]&lt;&gt;"",SUM(INDEX(PaymentSchedule434[INTEREST],1,1):PaymentSchedule434[[#This Row],[INTEREST]]),"")</f>
        <v/>
      </c>
    </row>
    <row r="177" spans="2:11" x14ac:dyDescent="0.3">
      <c r="B177" s="30" t="str">
        <f>IF(LoanIsGood,IF(ROW()-ROW(PaymentSchedule434[[#Headers],[PMT NO]])&gt;ScheduledNumberOfPayments,"",ROW()-ROW(PaymentSchedule434[[#Headers],[PMT NO]])),"")</f>
        <v/>
      </c>
      <c r="C177" s="31" t="str">
        <f>IF(PaymentSchedule434[[#This Row],[PMT NO]]&lt;&gt;"",EOMONTH(LoanStartDate,ROW(PaymentSchedule434[[#This Row],[PMT NO]])-ROW(PaymentSchedule434[[#Headers],[PMT NO]])-2)+DAY(LoanStartDate),"")</f>
        <v/>
      </c>
      <c r="D17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77" s="32" t="str">
        <f>IF(PaymentSchedule434[[#This Row],[PMT NO]]&lt;&gt;"",ScheduledPayment,"")</f>
        <v/>
      </c>
      <c r="F17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7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77" s="32" t="str">
        <f>IF(PaymentSchedule434[[#This Row],[PMT NO]]&lt;&gt;"",PaymentSchedule434[[#This Row],[TOTAL PAYMENT]]-PaymentSchedule434[[#This Row],[INTEREST]],"")</f>
        <v/>
      </c>
      <c r="I177" s="32" t="str">
        <f>IF(PaymentSchedule434[[#This Row],[PMT NO]]&lt;&gt;"",PaymentSchedule434[[#This Row],[BEGINNING BALANCE]]*(InterestRate/PaymentsPerYear),"")</f>
        <v/>
      </c>
      <c r="J17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77" s="32" t="str">
        <f>IF(PaymentSchedule434[[#This Row],[PMT NO]]&lt;&gt;"",SUM(INDEX(PaymentSchedule434[INTEREST],1,1):PaymentSchedule434[[#This Row],[INTEREST]]),"")</f>
        <v/>
      </c>
    </row>
    <row r="178" spans="2:11" x14ac:dyDescent="0.3">
      <c r="B178" s="30" t="str">
        <f>IF(LoanIsGood,IF(ROW()-ROW(PaymentSchedule434[[#Headers],[PMT NO]])&gt;ScheduledNumberOfPayments,"",ROW()-ROW(PaymentSchedule434[[#Headers],[PMT NO]])),"")</f>
        <v/>
      </c>
      <c r="C178" s="31" t="str">
        <f>IF(PaymentSchedule434[[#This Row],[PMT NO]]&lt;&gt;"",EOMONTH(LoanStartDate,ROW(PaymentSchedule434[[#This Row],[PMT NO]])-ROW(PaymentSchedule434[[#Headers],[PMT NO]])-2)+DAY(LoanStartDate),"")</f>
        <v/>
      </c>
      <c r="D17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78" s="32" t="str">
        <f>IF(PaymentSchedule434[[#This Row],[PMT NO]]&lt;&gt;"",ScheduledPayment,"")</f>
        <v/>
      </c>
      <c r="F17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7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78" s="32" t="str">
        <f>IF(PaymentSchedule434[[#This Row],[PMT NO]]&lt;&gt;"",PaymentSchedule434[[#This Row],[TOTAL PAYMENT]]-PaymentSchedule434[[#This Row],[INTEREST]],"")</f>
        <v/>
      </c>
      <c r="I178" s="32" t="str">
        <f>IF(PaymentSchedule434[[#This Row],[PMT NO]]&lt;&gt;"",PaymentSchedule434[[#This Row],[BEGINNING BALANCE]]*(InterestRate/PaymentsPerYear),"")</f>
        <v/>
      </c>
      <c r="J17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78" s="32" t="str">
        <f>IF(PaymentSchedule434[[#This Row],[PMT NO]]&lt;&gt;"",SUM(INDEX(PaymentSchedule434[INTEREST],1,1):PaymentSchedule434[[#This Row],[INTEREST]]),"")</f>
        <v/>
      </c>
    </row>
    <row r="179" spans="2:11" x14ac:dyDescent="0.3">
      <c r="B179" s="30" t="str">
        <f>IF(LoanIsGood,IF(ROW()-ROW(PaymentSchedule434[[#Headers],[PMT NO]])&gt;ScheduledNumberOfPayments,"",ROW()-ROW(PaymentSchedule434[[#Headers],[PMT NO]])),"")</f>
        <v/>
      </c>
      <c r="C179" s="31" t="str">
        <f>IF(PaymentSchedule434[[#This Row],[PMT NO]]&lt;&gt;"",EOMONTH(LoanStartDate,ROW(PaymentSchedule434[[#This Row],[PMT NO]])-ROW(PaymentSchedule434[[#Headers],[PMT NO]])-2)+DAY(LoanStartDate),"")</f>
        <v/>
      </c>
      <c r="D17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79" s="32" t="str">
        <f>IF(PaymentSchedule434[[#This Row],[PMT NO]]&lt;&gt;"",ScheduledPayment,"")</f>
        <v/>
      </c>
      <c r="F17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7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79" s="32" t="str">
        <f>IF(PaymentSchedule434[[#This Row],[PMT NO]]&lt;&gt;"",PaymentSchedule434[[#This Row],[TOTAL PAYMENT]]-PaymentSchedule434[[#This Row],[INTEREST]],"")</f>
        <v/>
      </c>
      <c r="I179" s="32" t="str">
        <f>IF(PaymentSchedule434[[#This Row],[PMT NO]]&lt;&gt;"",PaymentSchedule434[[#This Row],[BEGINNING BALANCE]]*(InterestRate/PaymentsPerYear),"")</f>
        <v/>
      </c>
      <c r="J17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79" s="32" t="str">
        <f>IF(PaymentSchedule434[[#This Row],[PMT NO]]&lt;&gt;"",SUM(INDEX(PaymentSchedule434[INTEREST],1,1):PaymentSchedule434[[#This Row],[INTEREST]]),"")</f>
        <v/>
      </c>
    </row>
    <row r="180" spans="2:11" x14ac:dyDescent="0.3">
      <c r="B180" s="30" t="str">
        <f>IF(LoanIsGood,IF(ROW()-ROW(PaymentSchedule434[[#Headers],[PMT NO]])&gt;ScheduledNumberOfPayments,"",ROW()-ROW(PaymentSchedule434[[#Headers],[PMT NO]])),"")</f>
        <v/>
      </c>
      <c r="C180" s="31" t="str">
        <f>IF(PaymentSchedule434[[#This Row],[PMT NO]]&lt;&gt;"",EOMONTH(LoanStartDate,ROW(PaymentSchedule434[[#This Row],[PMT NO]])-ROW(PaymentSchedule434[[#Headers],[PMT NO]])-2)+DAY(LoanStartDate),"")</f>
        <v/>
      </c>
      <c r="D18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80" s="32" t="str">
        <f>IF(PaymentSchedule434[[#This Row],[PMT NO]]&lt;&gt;"",ScheduledPayment,"")</f>
        <v/>
      </c>
      <c r="F18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8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80" s="32" t="str">
        <f>IF(PaymentSchedule434[[#This Row],[PMT NO]]&lt;&gt;"",PaymentSchedule434[[#This Row],[TOTAL PAYMENT]]-PaymentSchedule434[[#This Row],[INTEREST]],"")</f>
        <v/>
      </c>
      <c r="I180" s="32" t="str">
        <f>IF(PaymentSchedule434[[#This Row],[PMT NO]]&lt;&gt;"",PaymentSchedule434[[#This Row],[BEGINNING BALANCE]]*(InterestRate/PaymentsPerYear),"")</f>
        <v/>
      </c>
      <c r="J18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80" s="32" t="str">
        <f>IF(PaymentSchedule434[[#This Row],[PMT NO]]&lt;&gt;"",SUM(INDEX(PaymentSchedule434[INTEREST],1,1):PaymentSchedule434[[#This Row],[INTEREST]]),"")</f>
        <v/>
      </c>
    </row>
    <row r="181" spans="2:11" x14ac:dyDescent="0.3">
      <c r="B181" s="30" t="str">
        <f>IF(LoanIsGood,IF(ROW()-ROW(PaymentSchedule434[[#Headers],[PMT NO]])&gt;ScheduledNumberOfPayments,"",ROW()-ROW(PaymentSchedule434[[#Headers],[PMT NO]])),"")</f>
        <v/>
      </c>
      <c r="C181" s="31" t="str">
        <f>IF(PaymentSchedule434[[#This Row],[PMT NO]]&lt;&gt;"",EOMONTH(LoanStartDate,ROW(PaymentSchedule434[[#This Row],[PMT NO]])-ROW(PaymentSchedule434[[#Headers],[PMT NO]])-2)+DAY(LoanStartDate),"")</f>
        <v/>
      </c>
      <c r="D18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81" s="32" t="str">
        <f>IF(PaymentSchedule434[[#This Row],[PMT NO]]&lt;&gt;"",ScheduledPayment,"")</f>
        <v/>
      </c>
      <c r="F18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8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81" s="32" t="str">
        <f>IF(PaymentSchedule434[[#This Row],[PMT NO]]&lt;&gt;"",PaymentSchedule434[[#This Row],[TOTAL PAYMENT]]-PaymentSchedule434[[#This Row],[INTEREST]],"")</f>
        <v/>
      </c>
      <c r="I181" s="32" t="str">
        <f>IF(PaymentSchedule434[[#This Row],[PMT NO]]&lt;&gt;"",PaymentSchedule434[[#This Row],[BEGINNING BALANCE]]*(InterestRate/PaymentsPerYear),"")</f>
        <v/>
      </c>
      <c r="J18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81" s="32" t="str">
        <f>IF(PaymentSchedule434[[#This Row],[PMT NO]]&lt;&gt;"",SUM(INDEX(PaymentSchedule434[INTEREST],1,1):PaymentSchedule434[[#This Row],[INTEREST]]),"")</f>
        <v/>
      </c>
    </row>
    <row r="182" spans="2:11" x14ac:dyDescent="0.3">
      <c r="B182" s="30" t="str">
        <f>IF(LoanIsGood,IF(ROW()-ROW(PaymentSchedule434[[#Headers],[PMT NO]])&gt;ScheduledNumberOfPayments,"",ROW()-ROW(PaymentSchedule434[[#Headers],[PMT NO]])),"")</f>
        <v/>
      </c>
      <c r="C182" s="31" t="str">
        <f>IF(PaymentSchedule434[[#This Row],[PMT NO]]&lt;&gt;"",EOMONTH(LoanStartDate,ROW(PaymentSchedule434[[#This Row],[PMT NO]])-ROW(PaymentSchedule434[[#Headers],[PMT NO]])-2)+DAY(LoanStartDate),"")</f>
        <v/>
      </c>
      <c r="D18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82" s="32" t="str">
        <f>IF(PaymentSchedule434[[#This Row],[PMT NO]]&lt;&gt;"",ScheduledPayment,"")</f>
        <v/>
      </c>
      <c r="F18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8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82" s="32" t="str">
        <f>IF(PaymentSchedule434[[#This Row],[PMT NO]]&lt;&gt;"",PaymentSchedule434[[#This Row],[TOTAL PAYMENT]]-PaymentSchedule434[[#This Row],[INTEREST]],"")</f>
        <v/>
      </c>
      <c r="I182" s="32" t="str">
        <f>IF(PaymentSchedule434[[#This Row],[PMT NO]]&lt;&gt;"",PaymentSchedule434[[#This Row],[BEGINNING BALANCE]]*(InterestRate/PaymentsPerYear),"")</f>
        <v/>
      </c>
      <c r="J18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82" s="32" t="str">
        <f>IF(PaymentSchedule434[[#This Row],[PMT NO]]&lt;&gt;"",SUM(INDEX(PaymentSchedule434[INTEREST],1,1):PaymentSchedule434[[#This Row],[INTEREST]]),"")</f>
        <v/>
      </c>
    </row>
    <row r="183" spans="2:11" x14ac:dyDescent="0.3">
      <c r="B183" s="30" t="str">
        <f>IF(LoanIsGood,IF(ROW()-ROW(PaymentSchedule434[[#Headers],[PMT NO]])&gt;ScheduledNumberOfPayments,"",ROW()-ROW(PaymentSchedule434[[#Headers],[PMT NO]])),"")</f>
        <v/>
      </c>
      <c r="C183" s="31" t="str">
        <f>IF(PaymentSchedule434[[#This Row],[PMT NO]]&lt;&gt;"",EOMONTH(LoanStartDate,ROW(PaymentSchedule434[[#This Row],[PMT NO]])-ROW(PaymentSchedule434[[#Headers],[PMT NO]])-2)+DAY(LoanStartDate),"")</f>
        <v/>
      </c>
      <c r="D18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83" s="32" t="str">
        <f>IF(PaymentSchedule434[[#This Row],[PMT NO]]&lt;&gt;"",ScheduledPayment,"")</f>
        <v/>
      </c>
      <c r="F18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8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83" s="32" t="str">
        <f>IF(PaymentSchedule434[[#This Row],[PMT NO]]&lt;&gt;"",PaymentSchedule434[[#This Row],[TOTAL PAYMENT]]-PaymentSchedule434[[#This Row],[INTEREST]],"")</f>
        <v/>
      </c>
      <c r="I183" s="32" t="str">
        <f>IF(PaymentSchedule434[[#This Row],[PMT NO]]&lt;&gt;"",PaymentSchedule434[[#This Row],[BEGINNING BALANCE]]*(InterestRate/PaymentsPerYear),"")</f>
        <v/>
      </c>
      <c r="J18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83" s="32" t="str">
        <f>IF(PaymentSchedule434[[#This Row],[PMT NO]]&lt;&gt;"",SUM(INDEX(PaymentSchedule434[INTEREST],1,1):PaymentSchedule434[[#This Row],[INTEREST]]),"")</f>
        <v/>
      </c>
    </row>
    <row r="184" spans="2:11" x14ac:dyDescent="0.3">
      <c r="B184" s="30" t="str">
        <f>IF(LoanIsGood,IF(ROW()-ROW(PaymentSchedule434[[#Headers],[PMT NO]])&gt;ScheduledNumberOfPayments,"",ROW()-ROW(PaymentSchedule434[[#Headers],[PMT NO]])),"")</f>
        <v/>
      </c>
      <c r="C184" s="31" t="str">
        <f>IF(PaymentSchedule434[[#This Row],[PMT NO]]&lt;&gt;"",EOMONTH(LoanStartDate,ROW(PaymentSchedule434[[#This Row],[PMT NO]])-ROW(PaymentSchedule434[[#Headers],[PMT NO]])-2)+DAY(LoanStartDate),"")</f>
        <v/>
      </c>
      <c r="D18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84" s="32" t="str">
        <f>IF(PaymentSchedule434[[#This Row],[PMT NO]]&lt;&gt;"",ScheduledPayment,"")</f>
        <v/>
      </c>
      <c r="F18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8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84" s="32" t="str">
        <f>IF(PaymentSchedule434[[#This Row],[PMT NO]]&lt;&gt;"",PaymentSchedule434[[#This Row],[TOTAL PAYMENT]]-PaymentSchedule434[[#This Row],[INTEREST]],"")</f>
        <v/>
      </c>
      <c r="I184" s="32" t="str">
        <f>IF(PaymentSchedule434[[#This Row],[PMT NO]]&lt;&gt;"",PaymentSchedule434[[#This Row],[BEGINNING BALANCE]]*(InterestRate/PaymentsPerYear),"")</f>
        <v/>
      </c>
      <c r="J18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84" s="32" t="str">
        <f>IF(PaymentSchedule434[[#This Row],[PMT NO]]&lt;&gt;"",SUM(INDEX(PaymentSchedule434[INTEREST],1,1):PaymentSchedule434[[#This Row],[INTEREST]]),"")</f>
        <v/>
      </c>
    </row>
    <row r="185" spans="2:11" x14ac:dyDescent="0.3">
      <c r="B185" s="30" t="str">
        <f>IF(LoanIsGood,IF(ROW()-ROW(PaymentSchedule434[[#Headers],[PMT NO]])&gt;ScheduledNumberOfPayments,"",ROW()-ROW(PaymentSchedule434[[#Headers],[PMT NO]])),"")</f>
        <v/>
      </c>
      <c r="C185" s="31" t="str">
        <f>IF(PaymentSchedule434[[#This Row],[PMT NO]]&lt;&gt;"",EOMONTH(LoanStartDate,ROW(PaymentSchedule434[[#This Row],[PMT NO]])-ROW(PaymentSchedule434[[#Headers],[PMT NO]])-2)+DAY(LoanStartDate),"")</f>
        <v/>
      </c>
      <c r="D18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85" s="32" t="str">
        <f>IF(PaymentSchedule434[[#This Row],[PMT NO]]&lt;&gt;"",ScheduledPayment,"")</f>
        <v/>
      </c>
      <c r="F18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8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85" s="32" t="str">
        <f>IF(PaymentSchedule434[[#This Row],[PMT NO]]&lt;&gt;"",PaymentSchedule434[[#This Row],[TOTAL PAYMENT]]-PaymentSchedule434[[#This Row],[INTEREST]],"")</f>
        <v/>
      </c>
      <c r="I185" s="32" t="str">
        <f>IF(PaymentSchedule434[[#This Row],[PMT NO]]&lt;&gt;"",PaymentSchedule434[[#This Row],[BEGINNING BALANCE]]*(InterestRate/PaymentsPerYear),"")</f>
        <v/>
      </c>
      <c r="J18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85" s="32" t="str">
        <f>IF(PaymentSchedule434[[#This Row],[PMT NO]]&lt;&gt;"",SUM(INDEX(PaymentSchedule434[INTEREST],1,1):PaymentSchedule434[[#This Row],[INTEREST]]),"")</f>
        <v/>
      </c>
    </row>
    <row r="186" spans="2:11" x14ac:dyDescent="0.3">
      <c r="B186" s="30" t="str">
        <f>IF(LoanIsGood,IF(ROW()-ROW(PaymentSchedule434[[#Headers],[PMT NO]])&gt;ScheduledNumberOfPayments,"",ROW()-ROW(PaymentSchedule434[[#Headers],[PMT NO]])),"")</f>
        <v/>
      </c>
      <c r="C186" s="31" t="str">
        <f>IF(PaymentSchedule434[[#This Row],[PMT NO]]&lt;&gt;"",EOMONTH(LoanStartDate,ROW(PaymentSchedule434[[#This Row],[PMT NO]])-ROW(PaymentSchedule434[[#Headers],[PMT NO]])-2)+DAY(LoanStartDate),"")</f>
        <v/>
      </c>
      <c r="D18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86" s="32" t="str">
        <f>IF(PaymentSchedule434[[#This Row],[PMT NO]]&lt;&gt;"",ScheduledPayment,"")</f>
        <v/>
      </c>
      <c r="F18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8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86" s="32" t="str">
        <f>IF(PaymentSchedule434[[#This Row],[PMT NO]]&lt;&gt;"",PaymentSchedule434[[#This Row],[TOTAL PAYMENT]]-PaymentSchedule434[[#This Row],[INTEREST]],"")</f>
        <v/>
      </c>
      <c r="I186" s="32" t="str">
        <f>IF(PaymentSchedule434[[#This Row],[PMT NO]]&lt;&gt;"",PaymentSchedule434[[#This Row],[BEGINNING BALANCE]]*(InterestRate/PaymentsPerYear),"")</f>
        <v/>
      </c>
      <c r="J18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86" s="32" t="str">
        <f>IF(PaymentSchedule434[[#This Row],[PMT NO]]&lt;&gt;"",SUM(INDEX(PaymentSchedule434[INTEREST],1,1):PaymentSchedule434[[#This Row],[INTEREST]]),"")</f>
        <v/>
      </c>
    </row>
    <row r="187" spans="2:11" x14ac:dyDescent="0.3">
      <c r="B187" s="30" t="str">
        <f>IF(LoanIsGood,IF(ROW()-ROW(PaymentSchedule434[[#Headers],[PMT NO]])&gt;ScheduledNumberOfPayments,"",ROW()-ROW(PaymentSchedule434[[#Headers],[PMT NO]])),"")</f>
        <v/>
      </c>
      <c r="C187" s="31" t="str">
        <f>IF(PaymentSchedule434[[#This Row],[PMT NO]]&lt;&gt;"",EOMONTH(LoanStartDate,ROW(PaymentSchedule434[[#This Row],[PMT NO]])-ROW(PaymentSchedule434[[#Headers],[PMT NO]])-2)+DAY(LoanStartDate),"")</f>
        <v/>
      </c>
      <c r="D18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87" s="32" t="str">
        <f>IF(PaymentSchedule434[[#This Row],[PMT NO]]&lt;&gt;"",ScheduledPayment,"")</f>
        <v/>
      </c>
      <c r="F18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8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87" s="32" t="str">
        <f>IF(PaymentSchedule434[[#This Row],[PMT NO]]&lt;&gt;"",PaymentSchedule434[[#This Row],[TOTAL PAYMENT]]-PaymentSchedule434[[#This Row],[INTEREST]],"")</f>
        <v/>
      </c>
      <c r="I187" s="32" t="str">
        <f>IF(PaymentSchedule434[[#This Row],[PMT NO]]&lt;&gt;"",PaymentSchedule434[[#This Row],[BEGINNING BALANCE]]*(InterestRate/PaymentsPerYear),"")</f>
        <v/>
      </c>
      <c r="J18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87" s="32" t="str">
        <f>IF(PaymentSchedule434[[#This Row],[PMT NO]]&lt;&gt;"",SUM(INDEX(PaymentSchedule434[INTEREST],1,1):PaymentSchedule434[[#This Row],[INTEREST]]),"")</f>
        <v/>
      </c>
    </row>
    <row r="188" spans="2:11" x14ac:dyDescent="0.3">
      <c r="B188" s="30" t="str">
        <f>IF(LoanIsGood,IF(ROW()-ROW(PaymentSchedule434[[#Headers],[PMT NO]])&gt;ScheduledNumberOfPayments,"",ROW()-ROW(PaymentSchedule434[[#Headers],[PMT NO]])),"")</f>
        <v/>
      </c>
      <c r="C188" s="31" t="str">
        <f>IF(PaymentSchedule434[[#This Row],[PMT NO]]&lt;&gt;"",EOMONTH(LoanStartDate,ROW(PaymentSchedule434[[#This Row],[PMT NO]])-ROW(PaymentSchedule434[[#Headers],[PMT NO]])-2)+DAY(LoanStartDate),"")</f>
        <v/>
      </c>
      <c r="D18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88" s="32" t="str">
        <f>IF(PaymentSchedule434[[#This Row],[PMT NO]]&lt;&gt;"",ScheduledPayment,"")</f>
        <v/>
      </c>
      <c r="F18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8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88" s="32" t="str">
        <f>IF(PaymentSchedule434[[#This Row],[PMT NO]]&lt;&gt;"",PaymentSchedule434[[#This Row],[TOTAL PAYMENT]]-PaymentSchedule434[[#This Row],[INTEREST]],"")</f>
        <v/>
      </c>
      <c r="I188" s="32" t="str">
        <f>IF(PaymentSchedule434[[#This Row],[PMT NO]]&lt;&gt;"",PaymentSchedule434[[#This Row],[BEGINNING BALANCE]]*(InterestRate/PaymentsPerYear),"")</f>
        <v/>
      </c>
      <c r="J18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88" s="32" t="str">
        <f>IF(PaymentSchedule434[[#This Row],[PMT NO]]&lt;&gt;"",SUM(INDEX(PaymentSchedule434[INTEREST],1,1):PaymentSchedule434[[#This Row],[INTEREST]]),"")</f>
        <v/>
      </c>
    </row>
    <row r="189" spans="2:11" x14ac:dyDescent="0.3">
      <c r="B189" s="30" t="str">
        <f>IF(LoanIsGood,IF(ROW()-ROW(PaymentSchedule434[[#Headers],[PMT NO]])&gt;ScheduledNumberOfPayments,"",ROW()-ROW(PaymentSchedule434[[#Headers],[PMT NO]])),"")</f>
        <v/>
      </c>
      <c r="C189" s="31" t="str">
        <f>IF(PaymentSchedule434[[#This Row],[PMT NO]]&lt;&gt;"",EOMONTH(LoanStartDate,ROW(PaymentSchedule434[[#This Row],[PMT NO]])-ROW(PaymentSchedule434[[#Headers],[PMT NO]])-2)+DAY(LoanStartDate),"")</f>
        <v/>
      </c>
      <c r="D18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89" s="32" t="str">
        <f>IF(PaymentSchedule434[[#This Row],[PMT NO]]&lt;&gt;"",ScheduledPayment,"")</f>
        <v/>
      </c>
      <c r="F18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8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89" s="32" t="str">
        <f>IF(PaymentSchedule434[[#This Row],[PMT NO]]&lt;&gt;"",PaymentSchedule434[[#This Row],[TOTAL PAYMENT]]-PaymentSchedule434[[#This Row],[INTEREST]],"")</f>
        <v/>
      </c>
      <c r="I189" s="32" t="str">
        <f>IF(PaymentSchedule434[[#This Row],[PMT NO]]&lt;&gt;"",PaymentSchedule434[[#This Row],[BEGINNING BALANCE]]*(InterestRate/PaymentsPerYear),"")</f>
        <v/>
      </c>
      <c r="J18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89" s="32" t="str">
        <f>IF(PaymentSchedule434[[#This Row],[PMT NO]]&lt;&gt;"",SUM(INDEX(PaymentSchedule434[INTEREST],1,1):PaymentSchedule434[[#This Row],[INTEREST]]),"")</f>
        <v/>
      </c>
    </row>
    <row r="190" spans="2:11" x14ac:dyDescent="0.3">
      <c r="B190" s="30" t="str">
        <f>IF(LoanIsGood,IF(ROW()-ROW(PaymentSchedule434[[#Headers],[PMT NO]])&gt;ScheduledNumberOfPayments,"",ROW()-ROW(PaymentSchedule434[[#Headers],[PMT NO]])),"")</f>
        <v/>
      </c>
      <c r="C190" s="31" t="str">
        <f>IF(PaymentSchedule434[[#This Row],[PMT NO]]&lt;&gt;"",EOMONTH(LoanStartDate,ROW(PaymentSchedule434[[#This Row],[PMT NO]])-ROW(PaymentSchedule434[[#Headers],[PMT NO]])-2)+DAY(LoanStartDate),"")</f>
        <v/>
      </c>
      <c r="D19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90" s="32" t="str">
        <f>IF(PaymentSchedule434[[#This Row],[PMT NO]]&lt;&gt;"",ScheduledPayment,"")</f>
        <v/>
      </c>
      <c r="F19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9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90" s="32" t="str">
        <f>IF(PaymentSchedule434[[#This Row],[PMT NO]]&lt;&gt;"",PaymentSchedule434[[#This Row],[TOTAL PAYMENT]]-PaymentSchedule434[[#This Row],[INTEREST]],"")</f>
        <v/>
      </c>
      <c r="I190" s="32" t="str">
        <f>IF(PaymentSchedule434[[#This Row],[PMT NO]]&lt;&gt;"",PaymentSchedule434[[#This Row],[BEGINNING BALANCE]]*(InterestRate/PaymentsPerYear),"")</f>
        <v/>
      </c>
      <c r="J19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90" s="32" t="str">
        <f>IF(PaymentSchedule434[[#This Row],[PMT NO]]&lt;&gt;"",SUM(INDEX(PaymentSchedule434[INTEREST],1,1):PaymentSchedule434[[#This Row],[INTEREST]]),"")</f>
        <v/>
      </c>
    </row>
    <row r="191" spans="2:11" x14ac:dyDescent="0.3">
      <c r="B191" s="30" t="str">
        <f>IF(LoanIsGood,IF(ROW()-ROW(PaymentSchedule434[[#Headers],[PMT NO]])&gt;ScheduledNumberOfPayments,"",ROW()-ROW(PaymentSchedule434[[#Headers],[PMT NO]])),"")</f>
        <v/>
      </c>
      <c r="C191" s="31" t="str">
        <f>IF(PaymentSchedule434[[#This Row],[PMT NO]]&lt;&gt;"",EOMONTH(LoanStartDate,ROW(PaymentSchedule434[[#This Row],[PMT NO]])-ROW(PaymentSchedule434[[#Headers],[PMT NO]])-2)+DAY(LoanStartDate),"")</f>
        <v/>
      </c>
      <c r="D19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91" s="32" t="str">
        <f>IF(PaymentSchedule434[[#This Row],[PMT NO]]&lt;&gt;"",ScheduledPayment,"")</f>
        <v/>
      </c>
      <c r="F19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9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91" s="32" t="str">
        <f>IF(PaymentSchedule434[[#This Row],[PMT NO]]&lt;&gt;"",PaymentSchedule434[[#This Row],[TOTAL PAYMENT]]-PaymentSchedule434[[#This Row],[INTEREST]],"")</f>
        <v/>
      </c>
      <c r="I191" s="32" t="str">
        <f>IF(PaymentSchedule434[[#This Row],[PMT NO]]&lt;&gt;"",PaymentSchedule434[[#This Row],[BEGINNING BALANCE]]*(InterestRate/PaymentsPerYear),"")</f>
        <v/>
      </c>
      <c r="J19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91" s="32" t="str">
        <f>IF(PaymentSchedule434[[#This Row],[PMT NO]]&lt;&gt;"",SUM(INDEX(PaymentSchedule434[INTEREST],1,1):PaymentSchedule434[[#This Row],[INTEREST]]),"")</f>
        <v/>
      </c>
    </row>
    <row r="192" spans="2:11" x14ac:dyDescent="0.3">
      <c r="B192" s="30" t="str">
        <f>IF(LoanIsGood,IF(ROW()-ROW(PaymentSchedule434[[#Headers],[PMT NO]])&gt;ScheduledNumberOfPayments,"",ROW()-ROW(PaymentSchedule434[[#Headers],[PMT NO]])),"")</f>
        <v/>
      </c>
      <c r="C192" s="31" t="str">
        <f>IF(PaymentSchedule434[[#This Row],[PMT NO]]&lt;&gt;"",EOMONTH(LoanStartDate,ROW(PaymentSchedule434[[#This Row],[PMT NO]])-ROW(PaymentSchedule434[[#Headers],[PMT NO]])-2)+DAY(LoanStartDate),"")</f>
        <v/>
      </c>
      <c r="D19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92" s="32" t="str">
        <f>IF(PaymentSchedule434[[#This Row],[PMT NO]]&lt;&gt;"",ScheduledPayment,"")</f>
        <v/>
      </c>
      <c r="F19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9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92" s="32" t="str">
        <f>IF(PaymentSchedule434[[#This Row],[PMT NO]]&lt;&gt;"",PaymentSchedule434[[#This Row],[TOTAL PAYMENT]]-PaymentSchedule434[[#This Row],[INTEREST]],"")</f>
        <v/>
      </c>
      <c r="I192" s="32" t="str">
        <f>IF(PaymentSchedule434[[#This Row],[PMT NO]]&lt;&gt;"",PaymentSchedule434[[#This Row],[BEGINNING BALANCE]]*(InterestRate/PaymentsPerYear),"")</f>
        <v/>
      </c>
      <c r="J19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92" s="32" t="str">
        <f>IF(PaymentSchedule434[[#This Row],[PMT NO]]&lt;&gt;"",SUM(INDEX(PaymentSchedule434[INTEREST],1,1):PaymentSchedule434[[#This Row],[INTEREST]]),"")</f>
        <v/>
      </c>
    </row>
    <row r="193" spans="2:11" x14ac:dyDescent="0.3">
      <c r="B193" s="30" t="str">
        <f>IF(LoanIsGood,IF(ROW()-ROW(PaymentSchedule434[[#Headers],[PMT NO]])&gt;ScheduledNumberOfPayments,"",ROW()-ROW(PaymentSchedule434[[#Headers],[PMT NO]])),"")</f>
        <v/>
      </c>
      <c r="C193" s="31" t="str">
        <f>IF(PaymentSchedule434[[#This Row],[PMT NO]]&lt;&gt;"",EOMONTH(LoanStartDate,ROW(PaymentSchedule434[[#This Row],[PMT NO]])-ROW(PaymentSchedule434[[#Headers],[PMT NO]])-2)+DAY(LoanStartDate),"")</f>
        <v/>
      </c>
      <c r="D19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93" s="32" t="str">
        <f>IF(PaymentSchedule434[[#This Row],[PMT NO]]&lt;&gt;"",ScheduledPayment,"")</f>
        <v/>
      </c>
      <c r="F19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9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93" s="32" t="str">
        <f>IF(PaymentSchedule434[[#This Row],[PMT NO]]&lt;&gt;"",PaymentSchedule434[[#This Row],[TOTAL PAYMENT]]-PaymentSchedule434[[#This Row],[INTEREST]],"")</f>
        <v/>
      </c>
      <c r="I193" s="32" t="str">
        <f>IF(PaymentSchedule434[[#This Row],[PMT NO]]&lt;&gt;"",PaymentSchedule434[[#This Row],[BEGINNING BALANCE]]*(InterestRate/PaymentsPerYear),"")</f>
        <v/>
      </c>
      <c r="J19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93" s="32" t="str">
        <f>IF(PaymentSchedule434[[#This Row],[PMT NO]]&lt;&gt;"",SUM(INDEX(PaymentSchedule434[INTEREST],1,1):PaymentSchedule434[[#This Row],[INTEREST]]),"")</f>
        <v/>
      </c>
    </row>
    <row r="194" spans="2:11" x14ac:dyDescent="0.3">
      <c r="B194" s="30" t="str">
        <f>IF(LoanIsGood,IF(ROW()-ROW(PaymentSchedule434[[#Headers],[PMT NO]])&gt;ScheduledNumberOfPayments,"",ROW()-ROW(PaymentSchedule434[[#Headers],[PMT NO]])),"")</f>
        <v/>
      </c>
      <c r="C194" s="31" t="str">
        <f>IF(PaymentSchedule434[[#This Row],[PMT NO]]&lt;&gt;"",EOMONTH(LoanStartDate,ROW(PaymentSchedule434[[#This Row],[PMT NO]])-ROW(PaymentSchedule434[[#Headers],[PMT NO]])-2)+DAY(LoanStartDate),"")</f>
        <v/>
      </c>
      <c r="D19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94" s="32" t="str">
        <f>IF(PaymentSchedule434[[#This Row],[PMT NO]]&lt;&gt;"",ScheduledPayment,"")</f>
        <v/>
      </c>
      <c r="F19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9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94" s="32" t="str">
        <f>IF(PaymentSchedule434[[#This Row],[PMT NO]]&lt;&gt;"",PaymentSchedule434[[#This Row],[TOTAL PAYMENT]]-PaymentSchedule434[[#This Row],[INTEREST]],"")</f>
        <v/>
      </c>
      <c r="I194" s="32" t="str">
        <f>IF(PaymentSchedule434[[#This Row],[PMT NO]]&lt;&gt;"",PaymentSchedule434[[#This Row],[BEGINNING BALANCE]]*(InterestRate/PaymentsPerYear),"")</f>
        <v/>
      </c>
      <c r="J19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94" s="32" t="str">
        <f>IF(PaymentSchedule434[[#This Row],[PMT NO]]&lt;&gt;"",SUM(INDEX(PaymentSchedule434[INTEREST],1,1):PaymentSchedule434[[#This Row],[INTEREST]]),"")</f>
        <v/>
      </c>
    </row>
    <row r="195" spans="2:11" x14ac:dyDescent="0.3">
      <c r="B195" s="30" t="str">
        <f>IF(LoanIsGood,IF(ROW()-ROW(PaymentSchedule434[[#Headers],[PMT NO]])&gt;ScheduledNumberOfPayments,"",ROW()-ROW(PaymentSchedule434[[#Headers],[PMT NO]])),"")</f>
        <v/>
      </c>
      <c r="C195" s="31" t="str">
        <f>IF(PaymentSchedule434[[#This Row],[PMT NO]]&lt;&gt;"",EOMONTH(LoanStartDate,ROW(PaymentSchedule434[[#This Row],[PMT NO]])-ROW(PaymentSchedule434[[#Headers],[PMT NO]])-2)+DAY(LoanStartDate),"")</f>
        <v/>
      </c>
      <c r="D19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95" s="32" t="str">
        <f>IF(PaymentSchedule434[[#This Row],[PMT NO]]&lt;&gt;"",ScheduledPayment,"")</f>
        <v/>
      </c>
      <c r="F19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9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95" s="32" t="str">
        <f>IF(PaymentSchedule434[[#This Row],[PMT NO]]&lt;&gt;"",PaymentSchedule434[[#This Row],[TOTAL PAYMENT]]-PaymentSchedule434[[#This Row],[INTEREST]],"")</f>
        <v/>
      </c>
      <c r="I195" s="32" t="str">
        <f>IF(PaymentSchedule434[[#This Row],[PMT NO]]&lt;&gt;"",PaymentSchedule434[[#This Row],[BEGINNING BALANCE]]*(InterestRate/PaymentsPerYear),"")</f>
        <v/>
      </c>
      <c r="J19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95" s="32" t="str">
        <f>IF(PaymentSchedule434[[#This Row],[PMT NO]]&lt;&gt;"",SUM(INDEX(PaymentSchedule434[INTEREST],1,1):PaymentSchedule434[[#This Row],[INTEREST]]),"")</f>
        <v/>
      </c>
    </row>
    <row r="196" spans="2:11" x14ac:dyDescent="0.3">
      <c r="B196" s="30" t="str">
        <f>IF(LoanIsGood,IF(ROW()-ROW(PaymentSchedule434[[#Headers],[PMT NO]])&gt;ScheduledNumberOfPayments,"",ROW()-ROW(PaymentSchedule434[[#Headers],[PMT NO]])),"")</f>
        <v/>
      </c>
      <c r="C196" s="31" t="str">
        <f>IF(PaymentSchedule434[[#This Row],[PMT NO]]&lt;&gt;"",EOMONTH(LoanStartDate,ROW(PaymentSchedule434[[#This Row],[PMT NO]])-ROW(PaymentSchedule434[[#Headers],[PMT NO]])-2)+DAY(LoanStartDate),"")</f>
        <v/>
      </c>
      <c r="D19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96" s="32" t="str">
        <f>IF(PaymentSchedule434[[#This Row],[PMT NO]]&lt;&gt;"",ScheduledPayment,"")</f>
        <v/>
      </c>
      <c r="F19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9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96" s="32" t="str">
        <f>IF(PaymentSchedule434[[#This Row],[PMT NO]]&lt;&gt;"",PaymentSchedule434[[#This Row],[TOTAL PAYMENT]]-PaymentSchedule434[[#This Row],[INTEREST]],"")</f>
        <v/>
      </c>
      <c r="I196" s="32" t="str">
        <f>IF(PaymentSchedule434[[#This Row],[PMT NO]]&lt;&gt;"",PaymentSchedule434[[#This Row],[BEGINNING BALANCE]]*(InterestRate/PaymentsPerYear),"")</f>
        <v/>
      </c>
      <c r="J19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96" s="32" t="str">
        <f>IF(PaymentSchedule434[[#This Row],[PMT NO]]&lt;&gt;"",SUM(INDEX(PaymentSchedule434[INTEREST],1,1):PaymentSchedule434[[#This Row],[INTEREST]]),"")</f>
        <v/>
      </c>
    </row>
    <row r="197" spans="2:11" x14ac:dyDescent="0.3">
      <c r="B197" s="30" t="str">
        <f>IF(LoanIsGood,IF(ROW()-ROW(PaymentSchedule434[[#Headers],[PMT NO]])&gt;ScheduledNumberOfPayments,"",ROW()-ROW(PaymentSchedule434[[#Headers],[PMT NO]])),"")</f>
        <v/>
      </c>
      <c r="C197" s="31" t="str">
        <f>IF(PaymentSchedule434[[#This Row],[PMT NO]]&lt;&gt;"",EOMONTH(LoanStartDate,ROW(PaymentSchedule434[[#This Row],[PMT NO]])-ROW(PaymentSchedule434[[#Headers],[PMT NO]])-2)+DAY(LoanStartDate),"")</f>
        <v/>
      </c>
      <c r="D19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97" s="32" t="str">
        <f>IF(PaymentSchedule434[[#This Row],[PMT NO]]&lt;&gt;"",ScheduledPayment,"")</f>
        <v/>
      </c>
      <c r="F19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9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97" s="32" t="str">
        <f>IF(PaymentSchedule434[[#This Row],[PMT NO]]&lt;&gt;"",PaymentSchedule434[[#This Row],[TOTAL PAYMENT]]-PaymentSchedule434[[#This Row],[INTEREST]],"")</f>
        <v/>
      </c>
      <c r="I197" s="32" t="str">
        <f>IF(PaymentSchedule434[[#This Row],[PMT NO]]&lt;&gt;"",PaymentSchedule434[[#This Row],[BEGINNING BALANCE]]*(InterestRate/PaymentsPerYear),"")</f>
        <v/>
      </c>
      <c r="J19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97" s="32" t="str">
        <f>IF(PaymentSchedule434[[#This Row],[PMT NO]]&lt;&gt;"",SUM(INDEX(PaymentSchedule434[INTEREST],1,1):PaymentSchedule434[[#This Row],[INTEREST]]),"")</f>
        <v/>
      </c>
    </row>
    <row r="198" spans="2:11" x14ac:dyDescent="0.3">
      <c r="B198" s="30" t="str">
        <f>IF(LoanIsGood,IF(ROW()-ROW(PaymentSchedule434[[#Headers],[PMT NO]])&gt;ScheduledNumberOfPayments,"",ROW()-ROW(PaymentSchedule434[[#Headers],[PMT NO]])),"")</f>
        <v/>
      </c>
      <c r="C198" s="31" t="str">
        <f>IF(PaymentSchedule434[[#This Row],[PMT NO]]&lt;&gt;"",EOMONTH(LoanStartDate,ROW(PaymentSchedule434[[#This Row],[PMT NO]])-ROW(PaymentSchedule434[[#Headers],[PMT NO]])-2)+DAY(LoanStartDate),"")</f>
        <v/>
      </c>
      <c r="D19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98" s="32" t="str">
        <f>IF(PaymentSchedule434[[#This Row],[PMT NO]]&lt;&gt;"",ScheduledPayment,"")</f>
        <v/>
      </c>
      <c r="F19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9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98" s="32" t="str">
        <f>IF(PaymentSchedule434[[#This Row],[PMT NO]]&lt;&gt;"",PaymentSchedule434[[#This Row],[TOTAL PAYMENT]]-PaymentSchedule434[[#This Row],[INTEREST]],"")</f>
        <v/>
      </c>
      <c r="I198" s="32" t="str">
        <f>IF(PaymentSchedule434[[#This Row],[PMT NO]]&lt;&gt;"",PaymentSchedule434[[#This Row],[BEGINNING BALANCE]]*(InterestRate/PaymentsPerYear),"")</f>
        <v/>
      </c>
      <c r="J19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98" s="32" t="str">
        <f>IF(PaymentSchedule434[[#This Row],[PMT NO]]&lt;&gt;"",SUM(INDEX(PaymentSchedule434[INTEREST],1,1):PaymentSchedule434[[#This Row],[INTEREST]]),"")</f>
        <v/>
      </c>
    </row>
    <row r="199" spans="2:11" x14ac:dyDescent="0.3">
      <c r="B199" s="30" t="str">
        <f>IF(LoanIsGood,IF(ROW()-ROW(PaymentSchedule434[[#Headers],[PMT NO]])&gt;ScheduledNumberOfPayments,"",ROW()-ROW(PaymentSchedule434[[#Headers],[PMT NO]])),"")</f>
        <v/>
      </c>
      <c r="C199" s="31" t="str">
        <f>IF(PaymentSchedule434[[#This Row],[PMT NO]]&lt;&gt;"",EOMONTH(LoanStartDate,ROW(PaymentSchedule434[[#This Row],[PMT NO]])-ROW(PaymentSchedule434[[#Headers],[PMT NO]])-2)+DAY(LoanStartDate),"")</f>
        <v/>
      </c>
      <c r="D19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199" s="32" t="str">
        <f>IF(PaymentSchedule434[[#This Row],[PMT NO]]&lt;&gt;"",ScheduledPayment,"")</f>
        <v/>
      </c>
      <c r="F19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19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199" s="32" t="str">
        <f>IF(PaymentSchedule434[[#This Row],[PMT NO]]&lt;&gt;"",PaymentSchedule434[[#This Row],[TOTAL PAYMENT]]-PaymentSchedule434[[#This Row],[INTEREST]],"")</f>
        <v/>
      </c>
      <c r="I199" s="32" t="str">
        <f>IF(PaymentSchedule434[[#This Row],[PMT NO]]&lt;&gt;"",PaymentSchedule434[[#This Row],[BEGINNING BALANCE]]*(InterestRate/PaymentsPerYear),"")</f>
        <v/>
      </c>
      <c r="J19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199" s="32" t="str">
        <f>IF(PaymentSchedule434[[#This Row],[PMT NO]]&lt;&gt;"",SUM(INDEX(PaymentSchedule434[INTEREST],1,1):PaymentSchedule434[[#This Row],[INTEREST]]),"")</f>
        <v/>
      </c>
    </row>
    <row r="200" spans="2:11" x14ac:dyDescent="0.3">
      <c r="B200" s="30" t="str">
        <f>IF(LoanIsGood,IF(ROW()-ROW(PaymentSchedule434[[#Headers],[PMT NO]])&gt;ScheduledNumberOfPayments,"",ROW()-ROW(PaymentSchedule434[[#Headers],[PMT NO]])),"")</f>
        <v/>
      </c>
      <c r="C200" s="31" t="str">
        <f>IF(PaymentSchedule434[[#This Row],[PMT NO]]&lt;&gt;"",EOMONTH(LoanStartDate,ROW(PaymentSchedule434[[#This Row],[PMT NO]])-ROW(PaymentSchedule434[[#Headers],[PMT NO]])-2)+DAY(LoanStartDate),"")</f>
        <v/>
      </c>
      <c r="D20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00" s="32" t="str">
        <f>IF(PaymentSchedule434[[#This Row],[PMT NO]]&lt;&gt;"",ScheduledPayment,"")</f>
        <v/>
      </c>
      <c r="F20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0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00" s="32" t="str">
        <f>IF(PaymentSchedule434[[#This Row],[PMT NO]]&lt;&gt;"",PaymentSchedule434[[#This Row],[TOTAL PAYMENT]]-PaymentSchedule434[[#This Row],[INTEREST]],"")</f>
        <v/>
      </c>
      <c r="I200" s="32" t="str">
        <f>IF(PaymentSchedule434[[#This Row],[PMT NO]]&lt;&gt;"",PaymentSchedule434[[#This Row],[BEGINNING BALANCE]]*(InterestRate/PaymentsPerYear),"")</f>
        <v/>
      </c>
      <c r="J20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00" s="32" t="str">
        <f>IF(PaymentSchedule434[[#This Row],[PMT NO]]&lt;&gt;"",SUM(INDEX(PaymentSchedule434[INTEREST],1,1):PaymentSchedule434[[#This Row],[INTEREST]]),"")</f>
        <v/>
      </c>
    </row>
    <row r="201" spans="2:11" x14ac:dyDescent="0.3">
      <c r="B201" s="30" t="str">
        <f>IF(LoanIsGood,IF(ROW()-ROW(PaymentSchedule434[[#Headers],[PMT NO]])&gt;ScheduledNumberOfPayments,"",ROW()-ROW(PaymentSchedule434[[#Headers],[PMT NO]])),"")</f>
        <v/>
      </c>
      <c r="C201" s="31" t="str">
        <f>IF(PaymentSchedule434[[#This Row],[PMT NO]]&lt;&gt;"",EOMONTH(LoanStartDate,ROW(PaymentSchedule434[[#This Row],[PMT NO]])-ROW(PaymentSchedule434[[#Headers],[PMT NO]])-2)+DAY(LoanStartDate),"")</f>
        <v/>
      </c>
      <c r="D20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01" s="32" t="str">
        <f>IF(PaymentSchedule434[[#This Row],[PMT NO]]&lt;&gt;"",ScheduledPayment,"")</f>
        <v/>
      </c>
      <c r="F20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0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01" s="32" t="str">
        <f>IF(PaymentSchedule434[[#This Row],[PMT NO]]&lt;&gt;"",PaymentSchedule434[[#This Row],[TOTAL PAYMENT]]-PaymentSchedule434[[#This Row],[INTEREST]],"")</f>
        <v/>
      </c>
      <c r="I201" s="32" t="str">
        <f>IF(PaymentSchedule434[[#This Row],[PMT NO]]&lt;&gt;"",PaymentSchedule434[[#This Row],[BEGINNING BALANCE]]*(InterestRate/PaymentsPerYear),"")</f>
        <v/>
      </c>
      <c r="J20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01" s="32" t="str">
        <f>IF(PaymentSchedule434[[#This Row],[PMT NO]]&lt;&gt;"",SUM(INDEX(PaymentSchedule434[INTEREST],1,1):PaymentSchedule434[[#This Row],[INTEREST]]),"")</f>
        <v/>
      </c>
    </row>
    <row r="202" spans="2:11" x14ac:dyDescent="0.3">
      <c r="B202" s="30" t="str">
        <f>IF(LoanIsGood,IF(ROW()-ROW(PaymentSchedule434[[#Headers],[PMT NO]])&gt;ScheduledNumberOfPayments,"",ROW()-ROW(PaymentSchedule434[[#Headers],[PMT NO]])),"")</f>
        <v/>
      </c>
      <c r="C202" s="31" t="str">
        <f>IF(PaymentSchedule434[[#This Row],[PMT NO]]&lt;&gt;"",EOMONTH(LoanStartDate,ROW(PaymentSchedule434[[#This Row],[PMT NO]])-ROW(PaymentSchedule434[[#Headers],[PMT NO]])-2)+DAY(LoanStartDate),"")</f>
        <v/>
      </c>
      <c r="D20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02" s="32" t="str">
        <f>IF(PaymentSchedule434[[#This Row],[PMT NO]]&lt;&gt;"",ScheduledPayment,"")</f>
        <v/>
      </c>
      <c r="F20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0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02" s="32" t="str">
        <f>IF(PaymentSchedule434[[#This Row],[PMT NO]]&lt;&gt;"",PaymentSchedule434[[#This Row],[TOTAL PAYMENT]]-PaymentSchedule434[[#This Row],[INTEREST]],"")</f>
        <v/>
      </c>
      <c r="I202" s="32" t="str">
        <f>IF(PaymentSchedule434[[#This Row],[PMT NO]]&lt;&gt;"",PaymentSchedule434[[#This Row],[BEGINNING BALANCE]]*(InterestRate/PaymentsPerYear),"")</f>
        <v/>
      </c>
      <c r="J20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02" s="32" t="str">
        <f>IF(PaymentSchedule434[[#This Row],[PMT NO]]&lt;&gt;"",SUM(INDEX(PaymentSchedule434[INTEREST],1,1):PaymentSchedule434[[#This Row],[INTEREST]]),"")</f>
        <v/>
      </c>
    </row>
    <row r="203" spans="2:11" x14ac:dyDescent="0.3">
      <c r="B203" s="30" t="str">
        <f>IF(LoanIsGood,IF(ROW()-ROW(PaymentSchedule434[[#Headers],[PMT NO]])&gt;ScheduledNumberOfPayments,"",ROW()-ROW(PaymentSchedule434[[#Headers],[PMT NO]])),"")</f>
        <v/>
      </c>
      <c r="C203" s="31" t="str">
        <f>IF(PaymentSchedule434[[#This Row],[PMT NO]]&lt;&gt;"",EOMONTH(LoanStartDate,ROW(PaymentSchedule434[[#This Row],[PMT NO]])-ROW(PaymentSchedule434[[#Headers],[PMT NO]])-2)+DAY(LoanStartDate),"")</f>
        <v/>
      </c>
      <c r="D20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03" s="32" t="str">
        <f>IF(PaymentSchedule434[[#This Row],[PMT NO]]&lt;&gt;"",ScheduledPayment,"")</f>
        <v/>
      </c>
      <c r="F20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0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03" s="32" t="str">
        <f>IF(PaymentSchedule434[[#This Row],[PMT NO]]&lt;&gt;"",PaymentSchedule434[[#This Row],[TOTAL PAYMENT]]-PaymentSchedule434[[#This Row],[INTEREST]],"")</f>
        <v/>
      </c>
      <c r="I203" s="32" t="str">
        <f>IF(PaymentSchedule434[[#This Row],[PMT NO]]&lt;&gt;"",PaymentSchedule434[[#This Row],[BEGINNING BALANCE]]*(InterestRate/PaymentsPerYear),"")</f>
        <v/>
      </c>
      <c r="J20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03" s="32" t="str">
        <f>IF(PaymentSchedule434[[#This Row],[PMT NO]]&lt;&gt;"",SUM(INDEX(PaymentSchedule434[INTEREST],1,1):PaymentSchedule434[[#This Row],[INTEREST]]),"")</f>
        <v/>
      </c>
    </row>
    <row r="204" spans="2:11" x14ac:dyDescent="0.3">
      <c r="B204" s="30" t="str">
        <f>IF(LoanIsGood,IF(ROW()-ROW(PaymentSchedule434[[#Headers],[PMT NO]])&gt;ScheduledNumberOfPayments,"",ROW()-ROW(PaymentSchedule434[[#Headers],[PMT NO]])),"")</f>
        <v/>
      </c>
      <c r="C204" s="31" t="str">
        <f>IF(PaymentSchedule434[[#This Row],[PMT NO]]&lt;&gt;"",EOMONTH(LoanStartDate,ROW(PaymentSchedule434[[#This Row],[PMT NO]])-ROW(PaymentSchedule434[[#Headers],[PMT NO]])-2)+DAY(LoanStartDate),"")</f>
        <v/>
      </c>
      <c r="D20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04" s="32" t="str">
        <f>IF(PaymentSchedule434[[#This Row],[PMT NO]]&lt;&gt;"",ScheduledPayment,"")</f>
        <v/>
      </c>
      <c r="F20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0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04" s="32" t="str">
        <f>IF(PaymentSchedule434[[#This Row],[PMT NO]]&lt;&gt;"",PaymentSchedule434[[#This Row],[TOTAL PAYMENT]]-PaymentSchedule434[[#This Row],[INTEREST]],"")</f>
        <v/>
      </c>
      <c r="I204" s="32" t="str">
        <f>IF(PaymentSchedule434[[#This Row],[PMT NO]]&lt;&gt;"",PaymentSchedule434[[#This Row],[BEGINNING BALANCE]]*(InterestRate/PaymentsPerYear),"")</f>
        <v/>
      </c>
      <c r="J20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04" s="32" t="str">
        <f>IF(PaymentSchedule434[[#This Row],[PMT NO]]&lt;&gt;"",SUM(INDEX(PaymentSchedule434[INTEREST],1,1):PaymentSchedule434[[#This Row],[INTEREST]]),"")</f>
        <v/>
      </c>
    </row>
    <row r="205" spans="2:11" x14ac:dyDescent="0.3">
      <c r="B205" s="30" t="str">
        <f>IF(LoanIsGood,IF(ROW()-ROW(PaymentSchedule434[[#Headers],[PMT NO]])&gt;ScheduledNumberOfPayments,"",ROW()-ROW(PaymentSchedule434[[#Headers],[PMT NO]])),"")</f>
        <v/>
      </c>
      <c r="C205" s="31" t="str">
        <f>IF(PaymentSchedule434[[#This Row],[PMT NO]]&lt;&gt;"",EOMONTH(LoanStartDate,ROW(PaymentSchedule434[[#This Row],[PMT NO]])-ROW(PaymentSchedule434[[#Headers],[PMT NO]])-2)+DAY(LoanStartDate),"")</f>
        <v/>
      </c>
      <c r="D20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05" s="32" t="str">
        <f>IF(PaymentSchedule434[[#This Row],[PMT NO]]&lt;&gt;"",ScheduledPayment,"")</f>
        <v/>
      </c>
      <c r="F20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0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05" s="32" t="str">
        <f>IF(PaymentSchedule434[[#This Row],[PMT NO]]&lt;&gt;"",PaymentSchedule434[[#This Row],[TOTAL PAYMENT]]-PaymentSchedule434[[#This Row],[INTEREST]],"")</f>
        <v/>
      </c>
      <c r="I205" s="32" t="str">
        <f>IF(PaymentSchedule434[[#This Row],[PMT NO]]&lt;&gt;"",PaymentSchedule434[[#This Row],[BEGINNING BALANCE]]*(InterestRate/PaymentsPerYear),"")</f>
        <v/>
      </c>
      <c r="J20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05" s="32" t="str">
        <f>IF(PaymentSchedule434[[#This Row],[PMT NO]]&lt;&gt;"",SUM(INDEX(PaymentSchedule434[INTEREST],1,1):PaymentSchedule434[[#This Row],[INTEREST]]),"")</f>
        <v/>
      </c>
    </row>
    <row r="206" spans="2:11" x14ac:dyDescent="0.3">
      <c r="B206" s="30" t="str">
        <f>IF(LoanIsGood,IF(ROW()-ROW(PaymentSchedule434[[#Headers],[PMT NO]])&gt;ScheduledNumberOfPayments,"",ROW()-ROW(PaymentSchedule434[[#Headers],[PMT NO]])),"")</f>
        <v/>
      </c>
      <c r="C206" s="31" t="str">
        <f>IF(PaymentSchedule434[[#This Row],[PMT NO]]&lt;&gt;"",EOMONTH(LoanStartDate,ROW(PaymentSchedule434[[#This Row],[PMT NO]])-ROW(PaymentSchedule434[[#Headers],[PMT NO]])-2)+DAY(LoanStartDate),"")</f>
        <v/>
      </c>
      <c r="D20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06" s="32" t="str">
        <f>IF(PaymentSchedule434[[#This Row],[PMT NO]]&lt;&gt;"",ScheduledPayment,"")</f>
        <v/>
      </c>
      <c r="F20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0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06" s="32" t="str">
        <f>IF(PaymentSchedule434[[#This Row],[PMT NO]]&lt;&gt;"",PaymentSchedule434[[#This Row],[TOTAL PAYMENT]]-PaymentSchedule434[[#This Row],[INTEREST]],"")</f>
        <v/>
      </c>
      <c r="I206" s="32" t="str">
        <f>IF(PaymentSchedule434[[#This Row],[PMT NO]]&lt;&gt;"",PaymentSchedule434[[#This Row],[BEGINNING BALANCE]]*(InterestRate/PaymentsPerYear),"")</f>
        <v/>
      </c>
      <c r="J20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06" s="32" t="str">
        <f>IF(PaymentSchedule434[[#This Row],[PMT NO]]&lt;&gt;"",SUM(INDEX(PaymentSchedule434[INTEREST],1,1):PaymentSchedule434[[#This Row],[INTEREST]]),"")</f>
        <v/>
      </c>
    </row>
    <row r="207" spans="2:11" x14ac:dyDescent="0.3">
      <c r="B207" s="30" t="str">
        <f>IF(LoanIsGood,IF(ROW()-ROW(PaymentSchedule434[[#Headers],[PMT NO]])&gt;ScheduledNumberOfPayments,"",ROW()-ROW(PaymentSchedule434[[#Headers],[PMT NO]])),"")</f>
        <v/>
      </c>
      <c r="C207" s="31" t="str">
        <f>IF(PaymentSchedule434[[#This Row],[PMT NO]]&lt;&gt;"",EOMONTH(LoanStartDate,ROW(PaymentSchedule434[[#This Row],[PMT NO]])-ROW(PaymentSchedule434[[#Headers],[PMT NO]])-2)+DAY(LoanStartDate),"")</f>
        <v/>
      </c>
      <c r="D20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07" s="32" t="str">
        <f>IF(PaymentSchedule434[[#This Row],[PMT NO]]&lt;&gt;"",ScheduledPayment,"")</f>
        <v/>
      </c>
      <c r="F20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0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07" s="32" t="str">
        <f>IF(PaymentSchedule434[[#This Row],[PMT NO]]&lt;&gt;"",PaymentSchedule434[[#This Row],[TOTAL PAYMENT]]-PaymentSchedule434[[#This Row],[INTEREST]],"")</f>
        <v/>
      </c>
      <c r="I207" s="32" t="str">
        <f>IF(PaymentSchedule434[[#This Row],[PMT NO]]&lt;&gt;"",PaymentSchedule434[[#This Row],[BEGINNING BALANCE]]*(InterestRate/PaymentsPerYear),"")</f>
        <v/>
      </c>
      <c r="J20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07" s="32" t="str">
        <f>IF(PaymentSchedule434[[#This Row],[PMT NO]]&lt;&gt;"",SUM(INDEX(PaymentSchedule434[INTEREST],1,1):PaymentSchedule434[[#This Row],[INTEREST]]),"")</f>
        <v/>
      </c>
    </row>
    <row r="208" spans="2:11" x14ac:dyDescent="0.3">
      <c r="B208" s="30" t="str">
        <f>IF(LoanIsGood,IF(ROW()-ROW(PaymentSchedule434[[#Headers],[PMT NO]])&gt;ScheduledNumberOfPayments,"",ROW()-ROW(PaymentSchedule434[[#Headers],[PMT NO]])),"")</f>
        <v/>
      </c>
      <c r="C208" s="31" t="str">
        <f>IF(PaymentSchedule434[[#This Row],[PMT NO]]&lt;&gt;"",EOMONTH(LoanStartDate,ROW(PaymentSchedule434[[#This Row],[PMT NO]])-ROW(PaymentSchedule434[[#Headers],[PMT NO]])-2)+DAY(LoanStartDate),"")</f>
        <v/>
      </c>
      <c r="D20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08" s="32" t="str">
        <f>IF(PaymentSchedule434[[#This Row],[PMT NO]]&lt;&gt;"",ScheduledPayment,"")</f>
        <v/>
      </c>
      <c r="F20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0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08" s="32" t="str">
        <f>IF(PaymentSchedule434[[#This Row],[PMT NO]]&lt;&gt;"",PaymentSchedule434[[#This Row],[TOTAL PAYMENT]]-PaymentSchedule434[[#This Row],[INTEREST]],"")</f>
        <v/>
      </c>
      <c r="I208" s="32" t="str">
        <f>IF(PaymentSchedule434[[#This Row],[PMT NO]]&lt;&gt;"",PaymentSchedule434[[#This Row],[BEGINNING BALANCE]]*(InterestRate/PaymentsPerYear),"")</f>
        <v/>
      </c>
      <c r="J20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08" s="32" t="str">
        <f>IF(PaymentSchedule434[[#This Row],[PMT NO]]&lt;&gt;"",SUM(INDEX(PaymentSchedule434[INTEREST],1,1):PaymentSchedule434[[#This Row],[INTEREST]]),"")</f>
        <v/>
      </c>
    </row>
    <row r="209" spans="2:11" x14ac:dyDescent="0.3">
      <c r="B209" s="30" t="str">
        <f>IF(LoanIsGood,IF(ROW()-ROW(PaymentSchedule434[[#Headers],[PMT NO]])&gt;ScheduledNumberOfPayments,"",ROW()-ROW(PaymentSchedule434[[#Headers],[PMT NO]])),"")</f>
        <v/>
      </c>
      <c r="C209" s="31" t="str">
        <f>IF(PaymentSchedule434[[#This Row],[PMT NO]]&lt;&gt;"",EOMONTH(LoanStartDate,ROW(PaymentSchedule434[[#This Row],[PMT NO]])-ROW(PaymentSchedule434[[#Headers],[PMT NO]])-2)+DAY(LoanStartDate),"")</f>
        <v/>
      </c>
      <c r="D20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09" s="32" t="str">
        <f>IF(PaymentSchedule434[[#This Row],[PMT NO]]&lt;&gt;"",ScheduledPayment,"")</f>
        <v/>
      </c>
      <c r="F20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0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09" s="32" t="str">
        <f>IF(PaymentSchedule434[[#This Row],[PMT NO]]&lt;&gt;"",PaymentSchedule434[[#This Row],[TOTAL PAYMENT]]-PaymentSchedule434[[#This Row],[INTEREST]],"")</f>
        <v/>
      </c>
      <c r="I209" s="32" t="str">
        <f>IF(PaymentSchedule434[[#This Row],[PMT NO]]&lt;&gt;"",PaymentSchedule434[[#This Row],[BEGINNING BALANCE]]*(InterestRate/PaymentsPerYear),"")</f>
        <v/>
      </c>
      <c r="J20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09" s="32" t="str">
        <f>IF(PaymentSchedule434[[#This Row],[PMT NO]]&lt;&gt;"",SUM(INDEX(PaymentSchedule434[INTEREST],1,1):PaymentSchedule434[[#This Row],[INTEREST]]),"")</f>
        <v/>
      </c>
    </row>
    <row r="210" spans="2:11" x14ac:dyDescent="0.3">
      <c r="B210" s="30" t="str">
        <f>IF(LoanIsGood,IF(ROW()-ROW(PaymentSchedule434[[#Headers],[PMT NO]])&gt;ScheduledNumberOfPayments,"",ROW()-ROW(PaymentSchedule434[[#Headers],[PMT NO]])),"")</f>
        <v/>
      </c>
      <c r="C210" s="31" t="str">
        <f>IF(PaymentSchedule434[[#This Row],[PMT NO]]&lt;&gt;"",EOMONTH(LoanStartDate,ROW(PaymentSchedule434[[#This Row],[PMT NO]])-ROW(PaymentSchedule434[[#Headers],[PMT NO]])-2)+DAY(LoanStartDate),"")</f>
        <v/>
      </c>
      <c r="D21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10" s="32" t="str">
        <f>IF(PaymentSchedule434[[#This Row],[PMT NO]]&lt;&gt;"",ScheduledPayment,"")</f>
        <v/>
      </c>
      <c r="F21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1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10" s="32" t="str">
        <f>IF(PaymentSchedule434[[#This Row],[PMT NO]]&lt;&gt;"",PaymentSchedule434[[#This Row],[TOTAL PAYMENT]]-PaymentSchedule434[[#This Row],[INTEREST]],"")</f>
        <v/>
      </c>
      <c r="I210" s="32" t="str">
        <f>IF(PaymentSchedule434[[#This Row],[PMT NO]]&lt;&gt;"",PaymentSchedule434[[#This Row],[BEGINNING BALANCE]]*(InterestRate/PaymentsPerYear),"")</f>
        <v/>
      </c>
      <c r="J21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10" s="32" t="str">
        <f>IF(PaymentSchedule434[[#This Row],[PMT NO]]&lt;&gt;"",SUM(INDEX(PaymentSchedule434[INTEREST],1,1):PaymentSchedule434[[#This Row],[INTEREST]]),"")</f>
        <v/>
      </c>
    </row>
    <row r="211" spans="2:11" x14ac:dyDescent="0.3">
      <c r="B211" s="30" t="str">
        <f>IF(LoanIsGood,IF(ROW()-ROW(PaymentSchedule434[[#Headers],[PMT NO]])&gt;ScheduledNumberOfPayments,"",ROW()-ROW(PaymentSchedule434[[#Headers],[PMT NO]])),"")</f>
        <v/>
      </c>
      <c r="C211" s="31" t="str">
        <f>IF(PaymentSchedule434[[#This Row],[PMT NO]]&lt;&gt;"",EOMONTH(LoanStartDate,ROW(PaymentSchedule434[[#This Row],[PMT NO]])-ROW(PaymentSchedule434[[#Headers],[PMT NO]])-2)+DAY(LoanStartDate),"")</f>
        <v/>
      </c>
      <c r="D21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11" s="32" t="str">
        <f>IF(PaymentSchedule434[[#This Row],[PMT NO]]&lt;&gt;"",ScheduledPayment,"")</f>
        <v/>
      </c>
      <c r="F21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1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11" s="32" t="str">
        <f>IF(PaymentSchedule434[[#This Row],[PMT NO]]&lt;&gt;"",PaymentSchedule434[[#This Row],[TOTAL PAYMENT]]-PaymentSchedule434[[#This Row],[INTEREST]],"")</f>
        <v/>
      </c>
      <c r="I211" s="32" t="str">
        <f>IF(PaymentSchedule434[[#This Row],[PMT NO]]&lt;&gt;"",PaymentSchedule434[[#This Row],[BEGINNING BALANCE]]*(InterestRate/PaymentsPerYear),"")</f>
        <v/>
      </c>
      <c r="J21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11" s="32" t="str">
        <f>IF(PaymentSchedule434[[#This Row],[PMT NO]]&lt;&gt;"",SUM(INDEX(PaymentSchedule434[INTEREST],1,1):PaymentSchedule434[[#This Row],[INTEREST]]),"")</f>
        <v/>
      </c>
    </row>
    <row r="212" spans="2:11" x14ac:dyDescent="0.3">
      <c r="B212" s="30" t="str">
        <f>IF(LoanIsGood,IF(ROW()-ROW(PaymentSchedule434[[#Headers],[PMT NO]])&gt;ScheduledNumberOfPayments,"",ROW()-ROW(PaymentSchedule434[[#Headers],[PMT NO]])),"")</f>
        <v/>
      </c>
      <c r="C212" s="31" t="str">
        <f>IF(PaymentSchedule434[[#This Row],[PMT NO]]&lt;&gt;"",EOMONTH(LoanStartDate,ROW(PaymentSchedule434[[#This Row],[PMT NO]])-ROW(PaymentSchedule434[[#Headers],[PMT NO]])-2)+DAY(LoanStartDate),"")</f>
        <v/>
      </c>
      <c r="D21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12" s="32" t="str">
        <f>IF(PaymentSchedule434[[#This Row],[PMT NO]]&lt;&gt;"",ScheduledPayment,"")</f>
        <v/>
      </c>
      <c r="F21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1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12" s="32" t="str">
        <f>IF(PaymentSchedule434[[#This Row],[PMT NO]]&lt;&gt;"",PaymentSchedule434[[#This Row],[TOTAL PAYMENT]]-PaymentSchedule434[[#This Row],[INTEREST]],"")</f>
        <v/>
      </c>
      <c r="I212" s="32" t="str">
        <f>IF(PaymentSchedule434[[#This Row],[PMT NO]]&lt;&gt;"",PaymentSchedule434[[#This Row],[BEGINNING BALANCE]]*(InterestRate/PaymentsPerYear),"")</f>
        <v/>
      </c>
      <c r="J21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12" s="32" t="str">
        <f>IF(PaymentSchedule434[[#This Row],[PMT NO]]&lt;&gt;"",SUM(INDEX(PaymentSchedule434[INTEREST],1,1):PaymentSchedule434[[#This Row],[INTEREST]]),"")</f>
        <v/>
      </c>
    </row>
    <row r="213" spans="2:11" x14ac:dyDescent="0.3">
      <c r="B213" s="30" t="str">
        <f>IF(LoanIsGood,IF(ROW()-ROW(PaymentSchedule434[[#Headers],[PMT NO]])&gt;ScheduledNumberOfPayments,"",ROW()-ROW(PaymentSchedule434[[#Headers],[PMT NO]])),"")</f>
        <v/>
      </c>
      <c r="C213" s="31" t="str">
        <f>IF(PaymentSchedule434[[#This Row],[PMT NO]]&lt;&gt;"",EOMONTH(LoanStartDate,ROW(PaymentSchedule434[[#This Row],[PMT NO]])-ROW(PaymentSchedule434[[#Headers],[PMT NO]])-2)+DAY(LoanStartDate),"")</f>
        <v/>
      </c>
      <c r="D21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13" s="32" t="str">
        <f>IF(PaymentSchedule434[[#This Row],[PMT NO]]&lt;&gt;"",ScheduledPayment,"")</f>
        <v/>
      </c>
      <c r="F21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1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13" s="32" t="str">
        <f>IF(PaymentSchedule434[[#This Row],[PMT NO]]&lt;&gt;"",PaymentSchedule434[[#This Row],[TOTAL PAYMENT]]-PaymentSchedule434[[#This Row],[INTEREST]],"")</f>
        <v/>
      </c>
      <c r="I213" s="32" t="str">
        <f>IF(PaymentSchedule434[[#This Row],[PMT NO]]&lt;&gt;"",PaymentSchedule434[[#This Row],[BEGINNING BALANCE]]*(InterestRate/PaymentsPerYear),"")</f>
        <v/>
      </c>
      <c r="J21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13" s="32" t="str">
        <f>IF(PaymentSchedule434[[#This Row],[PMT NO]]&lt;&gt;"",SUM(INDEX(PaymentSchedule434[INTEREST],1,1):PaymentSchedule434[[#This Row],[INTEREST]]),"")</f>
        <v/>
      </c>
    </row>
    <row r="214" spans="2:11" x14ac:dyDescent="0.3">
      <c r="B214" s="30" t="str">
        <f>IF(LoanIsGood,IF(ROW()-ROW(PaymentSchedule434[[#Headers],[PMT NO]])&gt;ScheduledNumberOfPayments,"",ROW()-ROW(PaymentSchedule434[[#Headers],[PMT NO]])),"")</f>
        <v/>
      </c>
      <c r="C214" s="31" t="str">
        <f>IF(PaymentSchedule434[[#This Row],[PMT NO]]&lt;&gt;"",EOMONTH(LoanStartDate,ROW(PaymentSchedule434[[#This Row],[PMT NO]])-ROW(PaymentSchedule434[[#Headers],[PMT NO]])-2)+DAY(LoanStartDate),"")</f>
        <v/>
      </c>
      <c r="D21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14" s="32" t="str">
        <f>IF(PaymentSchedule434[[#This Row],[PMT NO]]&lt;&gt;"",ScheduledPayment,"")</f>
        <v/>
      </c>
      <c r="F21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1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14" s="32" t="str">
        <f>IF(PaymentSchedule434[[#This Row],[PMT NO]]&lt;&gt;"",PaymentSchedule434[[#This Row],[TOTAL PAYMENT]]-PaymentSchedule434[[#This Row],[INTEREST]],"")</f>
        <v/>
      </c>
      <c r="I214" s="32" t="str">
        <f>IF(PaymentSchedule434[[#This Row],[PMT NO]]&lt;&gt;"",PaymentSchedule434[[#This Row],[BEGINNING BALANCE]]*(InterestRate/PaymentsPerYear),"")</f>
        <v/>
      </c>
      <c r="J21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14" s="32" t="str">
        <f>IF(PaymentSchedule434[[#This Row],[PMT NO]]&lt;&gt;"",SUM(INDEX(PaymentSchedule434[INTEREST],1,1):PaymentSchedule434[[#This Row],[INTEREST]]),"")</f>
        <v/>
      </c>
    </row>
    <row r="215" spans="2:11" x14ac:dyDescent="0.3">
      <c r="B215" s="30" t="str">
        <f>IF(LoanIsGood,IF(ROW()-ROW(PaymentSchedule434[[#Headers],[PMT NO]])&gt;ScheduledNumberOfPayments,"",ROW()-ROW(PaymentSchedule434[[#Headers],[PMT NO]])),"")</f>
        <v/>
      </c>
      <c r="C215" s="31" t="str">
        <f>IF(PaymentSchedule434[[#This Row],[PMT NO]]&lt;&gt;"",EOMONTH(LoanStartDate,ROW(PaymentSchedule434[[#This Row],[PMT NO]])-ROW(PaymentSchedule434[[#Headers],[PMT NO]])-2)+DAY(LoanStartDate),"")</f>
        <v/>
      </c>
      <c r="D21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15" s="32" t="str">
        <f>IF(PaymentSchedule434[[#This Row],[PMT NO]]&lt;&gt;"",ScheduledPayment,"")</f>
        <v/>
      </c>
      <c r="F21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1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15" s="32" t="str">
        <f>IF(PaymentSchedule434[[#This Row],[PMT NO]]&lt;&gt;"",PaymentSchedule434[[#This Row],[TOTAL PAYMENT]]-PaymentSchedule434[[#This Row],[INTEREST]],"")</f>
        <v/>
      </c>
      <c r="I215" s="32" t="str">
        <f>IF(PaymentSchedule434[[#This Row],[PMT NO]]&lt;&gt;"",PaymentSchedule434[[#This Row],[BEGINNING BALANCE]]*(InterestRate/PaymentsPerYear),"")</f>
        <v/>
      </c>
      <c r="J21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15" s="32" t="str">
        <f>IF(PaymentSchedule434[[#This Row],[PMT NO]]&lt;&gt;"",SUM(INDEX(PaymentSchedule434[INTEREST],1,1):PaymentSchedule434[[#This Row],[INTEREST]]),"")</f>
        <v/>
      </c>
    </row>
    <row r="216" spans="2:11" x14ac:dyDescent="0.3">
      <c r="B216" s="30" t="str">
        <f>IF(LoanIsGood,IF(ROW()-ROW(PaymentSchedule434[[#Headers],[PMT NO]])&gt;ScheduledNumberOfPayments,"",ROW()-ROW(PaymentSchedule434[[#Headers],[PMT NO]])),"")</f>
        <v/>
      </c>
      <c r="C216" s="31" t="str">
        <f>IF(PaymentSchedule434[[#This Row],[PMT NO]]&lt;&gt;"",EOMONTH(LoanStartDate,ROW(PaymentSchedule434[[#This Row],[PMT NO]])-ROW(PaymentSchedule434[[#Headers],[PMT NO]])-2)+DAY(LoanStartDate),"")</f>
        <v/>
      </c>
      <c r="D21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16" s="32" t="str">
        <f>IF(PaymentSchedule434[[#This Row],[PMT NO]]&lt;&gt;"",ScheduledPayment,"")</f>
        <v/>
      </c>
      <c r="F21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1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16" s="32" t="str">
        <f>IF(PaymentSchedule434[[#This Row],[PMT NO]]&lt;&gt;"",PaymentSchedule434[[#This Row],[TOTAL PAYMENT]]-PaymentSchedule434[[#This Row],[INTEREST]],"")</f>
        <v/>
      </c>
      <c r="I216" s="32" t="str">
        <f>IF(PaymentSchedule434[[#This Row],[PMT NO]]&lt;&gt;"",PaymentSchedule434[[#This Row],[BEGINNING BALANCE]]*(InterestRate/PaymentsPerYear),"")</f>
        <v/>
      </c>
      <c r="J21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16" s="32" t="str">
        <f>IF(PaymentSchedule434[[#This Row],[PMT NO]]&lt;&gt;"",SUM(INDEX(PaymentSchedule434[INTEREST],1,1):PaymentSchedule434[[#This Row],[INTEREST]]),"")</f>
        <v/>
      </c>
    </row>
    <row r="217" spans="2:11" x14ac:dyDescent="0.3">
      <c r="B217" s="30" t="str">
        <f>IF(LoanIsGood,IF(ROW()-ROW(PaymentSchedule434[[#Headers],[PMT NO]])&gt;ScheduledNumberOfPayments,"",ROW()-ROW(PaymentSchedule434[[#Headers],[PMT NO]])),"")</f>
        <v/>
      </c>
      <c r="C217" s="31" t="str">
        <f>IF(PaymentSchedule434[[#This Row],[PMT NO]]&lt;&gt;"",EOMONTH(LoanStartDate,ROW(PaymentSchedule434[[#This Row],[PMT NO]])-ROW(PaymentSchedule434[[#Headers],[PMT NO]])-2)+DAY(LoanStartDate),"")</f>
        <v/>
      </c>
      <c r="D21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17" s="32" t="str">
        <f>IF(PaymentSchedule434[[#This Row],[PMT NO]]&lt;&gt;"",ScheduledPayment,"")</f>
        <v/>
      </c>
      <c r="F21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1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17" s="32" t="str">
        <f>IF(PaymentSchedule434[[#This Row],[PMT NO]]&lt;&gt;"",PaymentSchedule434[[#This Row],[TOTAL PAYMENT]]-PaymentSchedule434[[#This Row],[INTEREST]],"")</f>
        <v/>
      </c>
      <c r="I217" s="32" t="str">
        <f>IF(PaymentSchedule434[[#This Row],[PMT NO]]&lt;&gt;"",PaymentSchedule434[[#This Row],[BEGINNING BALANCE]]*(InterestRate/PaymentsPerYear),"")</f>
        <v/>
      </c>
      <c r="J21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17" s="32" t="str">
        <f>IF(PaymentSchedule434[[#This Row],[PMT NO]]&lt;&gt;"",SUM(INDEX(PaymentSchedule434[INTEREST],1,1):PaymentSchedule434[[#This Row],[INTEREST]]),"")</f>
        <v/>
      </c>
    </row>
    <row r="218" spans="2:11" x14ac:dyDescent="0.3">
      <c r="B218" s="30" t="str">
        <f>IF(LoanIsGood,IF(ROW()-ROW(PaymentSchedule434[[#Headers],[PMT NO]])&gt;ScheduledNumberOfPayments,"",ROW()-ROW(PaymentSchedule434[[#Headers],[PMT NO]])),"")</f>
        <v/>
      </c>
      <c r="C218" s="31" t="str">
        <f>IF(PaymentSchedule434[[#This Row],[PMT NO]]&lt;&gt;"",EOMONTH(LoanStartDate,ROW(PaymentSchedule434[[#This Row],[PMT NO]])-ROW(PaymentSchedule434[[#Headers],[PMT NO]])-2)+DAY(LoanStartDate),"")</f>
        <v/>
      </c>
      <c r="D21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18" s="32" t="str">
        <f>IF(PaymentSchedule434[[#This Row],[PMT NO]]&lt;&gt;"",ScheduledPayment,"")</f>
        <v/>
      </c>
      <c r="F21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1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18" s="32" t="str">
        <f>IF(PaymentSchedule434[[#This Row],[PMT NO]]&lt;&gt;"",PaymentSchedule434[[#This Row],[TOTAL PAYMENT]]-PaymentSchedule434[[#This Row],[INTEREST]],"")</f>
        <v/>
      </c>
      <c r="I218" s="32" t="str">
        <f>IF(PaymentSchedule434[[#This Row],[PMT NO]]&lt;&gt;"",PaymentSchedule434[[#This Row],[BEGINNING BALANCE]]*(InterestRate/PaymentsPerYear),"")</f>
        <v/>
      </c>
      <c r="J21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18" s="32" t="str">
        <f>IF(PaymentSchedule434[[#This Row],[PMT NO]]&lt;&gt;"",SUM(INDEX(PaymentSchedule434[INTEREST],1,1):PaymentSchedule434[[#This Row],[INTEREST]]),"")</f>
        <v/>
      </c>
    </row>
    <row r="219" spans="2:11" x14ac:dyDescent="0.3">
      <c r="B219" s="30" t="str">
        <f>IF(LoanIsGood,IF(ROW()-ROW(PaymentSchedule434[[#Headers],[PMT NO]])&gt;ScheduledNumberOfPayments,"",ROW()-ROW(PaymentSchedule434[[#Headers],[PMT NO]])),"")</f>
        <v/>
      </c>
      <c r="C219" s="31" t="str">
        <f>IF(PaymentSchedule434[[#This Row],[PMT NO]]&lt;&gt;"",EOMONTH(LoanStartDate,ROW(PaymentSchedule434[[#This Row],[PMT NO]])-ROW(PaymentSchedule434[[#Headers],[PMT NO]])-2)+DAY(LoanStartDate),"")</f>
        <v/>
      </c>
      <c r="D21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19" s="32" t="str">
        <f>IF(PaymentSchedule434[[#This Row],[PMT NO]]&lt;&gt;"",ScheduledPayment,"")</f>
        <v/>
      </c>
      <c r="F21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1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19" s="32" t="str">
        <f>IF(PaymentSchedule434[[#This Row],[PMT NO]]&lt;&gt;"",PaymentSchedule434[[#This Row],[TOTAL PAYMENT]]-PaymentSchedule434[[#This Row],[INTEREST]],"")</f>
        <v/>
      </c>
      <c r="I219" s="32" t="str">
        <f>IF(PaymentSchedule434[[#This Row],[PMT NO]]&lt;&gt;"",PaymentSchedule434[[#This Row],[BEGINNING BALANCE]]*(InterestRate/PaymentsPerYear),"")</f>
        <v/>
      </c>
      <c r="J21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19" s="32" t="str">
        <f>IF(PaymentSchedule434[[#This Row],[PMT NO]]&lt;&gt;"",SUM(INDEX(PaymentSchedule434[INTEREST],1,1):PaymentSchedule434[[#This Row],[INTEREST]]),"")</f>
        <v/>
      </c>
    </row>
    <row r="220" spans="2:11" x14ac:dyDescent="0.3">
      <c r="B220" s="30" t="str">
        <f>IF(LoanIsGood,IF(ROW()-ROW(PaymentSchedule434[[#Headers],[PMT NO]])&gt;ScheduledNumberOfPayments,"",ROW()-ROW(PaymentSchedule434[[#Headers],[PMT NO]])),"")</f>
        <v/>
      </c>
      <c r="C220" s="31" t="str">
        <f>IF(PaymentSchedule434[[#This Row],[PMT NO]]&lt;&gt;"",EOMONTH(LoanStartDate,ROW(PaymentSchedule434[[#This Row],[PMT NO]])-ROW(PaymentSchedule434[[#Headers],[PMT NO]])-2)+DAY(LoanStartDate),"")</f>
        <v/>
      </c>
      <c r="D22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20" s="32" t="str">
        <f>IF(PaymentSchedule434[[#This Row],[PMT NO]]&lt;&gt;"",ScheduledPayment,"")</f>
        <v/>
      </c>
      <c r="F22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2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20" s="32" t="str">
        <f>IF(PaymentSchedule434[[#This Row],[PMT NO]]&lt;&gt;"",PaymentSchedule434[[#This Row],[TOTAL PAYMENT]]-PaymentSchedule434[[#This Row],[INTEREST]],"")</f>
        <v/>
      </c>
      <c r="I220" s="32" t="str">
        <f>IF(PaymentSchedule434[[#This Row],[PMT NO]]&lt;&gt;"",PaymentSchedule434[[#This Row],[BEGINNING BALANCE]]*(InterestRate/PaymentsPerYear),"")</f>
        <v/>
      </c>
      <c r="J22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20" s="32" t="str">
        <f>IF(PaymentSchedule434[[#This Row],[PMT NO]]&lt;&gt;"",SUM(INDEX(PaymentSchedule434[INTEREST],1,1):PaymentSchedule434[[#This Row],[INTEREST]]),"")</f>
        <v/>
      </c>
    </row>
    <row r="221" spans="2:11" x14ac:dyDescent="0.3">
      <c r="B221" s="30" t="str">
        <f>IF(LoanIsGood,IF(ROW()-ROW(PaymentSchedule434[[#Headers],[PMT NO]])&gt;ScheduledNumberOfPayments,"",ROW()-ROW(PaymentSchedule434[[#Headers],[PMT NO]])),"")</f>
        <v/>
      </c>
      <c r="C221" s="31" t="str">
        <f>IF(PaymentSchedule434[[#This Row],[PMT NO]]&lt;&gt;"",EOMONTH(LoanStartDate,ROW(PaymentSchedule434[[#This Row],[PMT NO]])-ROW(PaymentSchedule434[[#Headers],[PMT NO]])-2)+DAY(LoanStartDate),"")</f>
        <v/>
      </c>
      <c r="D22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21" s="32" t="str">
        <f>IF(PaymentSchedule434[[#This Row],[PMT NO]]&lt;&gt;"",ScheduledPayment,"")</f>
        <v/>
      </c>
      <c r="F22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2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21" s="32" t="str">
        <f>IF(PaymentSchedule434[[#This Row],[PMT NO]]&lt;&gt;"",PaymentSchedule434[[#This Row],[TOTAL PAYMENT]]-PaymentSchedule434[[#This Row],[INTEREST]],"")</f>
        <v/>
      </c>
      <c r="I221" s="32" t="str">
        <f>IF(PaymentSchedule434[[#This Row],[PMT NO]]&lt;&gt;"",PaymentSchedule434[[#This Row],[BEGINNING BALANCE]]*(InterestRate/PaymentsPerYear),"")</f>
        <v/>
      </c>
      <c r="J22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21" s="32" t="str">
        <f>IF(PaymentSchedule434[[#This Row],[PMT NO]]&lt;&gt;"",SUM(INDEX(PaymentSchedule434[INTEREST],1,1):PaymentSchedule434[[#This Row],[INTEREST]]),"")</f>
        <v/>
      </c>
    </row>
    <row r="222" spans="2:11" x14ac:dyDescent="0.3">
      <c r="B222" s="30" t="str">
        <f>IF(LoanIsGood,IF(ROW()-ROW(PaymentSchedule434[[#Headers],[PMT NO]])&gt;ScheduledNumberOfPayments,"",ROW()-ROW(PaymentSchedule434[[#Headers],[PMT NO]])),"")</f>
        <v/>
      </c>
      <c r="C222" s="31" t="str">
        <f>IF(PaymentSchedule434[[#This Row],[PMT NO]]&lt;&gt;"",EOMONTH(LoanStartDate,ROW(PaymentSchedule434[[#This Row],[PMT NO]])-ROW(PaymentSchedule434[[#Headers],[PMT NO]])-2)+DAY(LoanStartDate),"")</f>
        <v/>
      </c>
      <c r="D22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22" s="32" t="str">
        <f>IF(PaymentSchedule434[[#This Row],[PMT NO]]&lt;&gt;"",ScheduledPayment,"")</f>
        <v/>
      </c>
      <c r="F22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2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22" s="32" t="str">
        <f>IF(PaymentSchedule434[[#This Row],[PMT NO]]&lt;&gt;"",PaymentSchedule434[[#This Row],[TOTAL PAYMENT]]-PaymentSchedule434[[#This Row],[INTEREST]],"")</f>
        <v/>
      </c>
      <c r="I222" s="32" t="str">
        <f>IF(PaymentSchedule434[[#This Row],[PMT NO]]&lt;&gt;"",PaymentSchedule434[[#This Row],[BEGINNING BALANCE]]*(InterestRate/PaymentsPerYear),"")</f>
        <v/>
      </c>
      <c r="J22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22" s="32" t="str">
        <f>IF(PaymentSchedule434[[#This Row],[PMT NO]]&lt;&gt;"",SUM(INDEX(PaymentSchedule434[INTEREST],1,1):PaymentSchedule434[[#This Row],[INTEREST]]),"")</f>
        <v/>
      </c>
    </row>
    <row r="223" spans="2:11" x14ac:dyDescent="0.3">
      <c r="B223" s="30" t="str">
        <f>IF(LoanIsGood,IF(ROW()-ROW(PaymentSchedule434[[#Headers],[PMT NO]])&gt;ScheduledNumberOfPayments,"",ROW()-ROW(PaymentSchedule434[[#Headers],[PMT NO]])),"")</f>
        <v/>
      </c>
      <c r="C223" s="31" t="str">
        <f>IF(PaymentSchedule434[[#This Row],[PMT NO]]&lt;&gt;"",EOMONTH(LoanStartDate,ROW(PaymentSchedule434[[#This Row],[PMT NO]])-ROW(PaymentSchedule434[[#Headers],[PMT NO]])-2)+DAY(LoanStartDate),"")</f>
        <v/>
      </c>
      <c r="D22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23" s="32" t="str">
        <f>IF(PaymentSchedule434[[#This Row],[PMT NO]]&lt;&gt;"",ScheduledPayment,"")</f>
        <v/>
      </c>
      <c r="F22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2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23" s="32" t="str">
        <f>IF(PaymentSchedule434[[#This Row],[PMT NO]]&lt;&gt;"",PaymentSchedule434[[#This Row],[TOTAL PAYMENT]]-PaymentSchedule434[[#This Row],[INTEREST]],"")</f>
        <v/>
      </c>
      <c r="I223" s="32" t="str">
        <f>IF(PaymentSchedule434[[#This Row],[PMT NO]]&lt;&gt;"",PaymentSchedule434[[#This Row],[BEGINNING BALANCE]]*(InterestRate/PaymentsPerYear),"")</f>
        <v/>
      </c>
      <c r="J22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23" s="32" t="str">
        <f>IF(PaymentSchedule434[[#This Row],[PMT NO]]&lt;&gt;"",SUM(INDEX(PaymentSchedule434[INTEREST],1,1):PaymentSchedule434[[#This Row],[INTEREST]]),"")</f>
        <v/>
      </c>
    </row>
    <row r="224" spans="2:11" x14ac:dyDescent="0.3">
      <c r="B224" s="30" t="str">
        <f>IF(LoanIsGood,IF(ROW()-ROW(PaymentSchedule434[[#Headers],[PMT NO]])&gt;ScheduledNumberOfPayments,"",ROW()-ROW(PaymentSchedule434[[#Headers],[PMT NO]])),"")</f>
        <v/>
      </c>
      <c r="C224" s="31" t="str">
        <f>IF(PaymentSchedule434[[#This Row],[PMT NO]]&lt;&gt;"",EOMONTH(LoanStartDate,ROW(PaymentSchedule434[[#This Row],[PMT NO]])-ROW(PaymentSchedule434[[#Headers],[PMT NO]])-2)+DAY(LoanStartDate),"")</f>
        <v/>
      </c>
      <c r="D22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24" s="32" t="str">
        <f>IF(PaymentSchedule434[[#This Row],[PMT NO]]&lt;&gt;"",ScheduledPayment,"")</f>
        <v/>
      </c>
      <c r="F22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2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24" s="32" t="str">
        <f>IF(PaymentSchedule434[[#This Row],[PMT NO]]&lt;&gt;"",PaymentSchedule434[[#This Row],[TOTAL PAYMENT]]-PaymentSchedule434[[#This Row],[INTEREST]],"")</f>
        <v/>
      </c>
      <c r="I224" s="32" t="str">
        <f>IF(PaymentSchedule434[[#This Row],[PMT NO]]&lt;&gt;"",PaymentSchedule434[[#This Row],[BEGINNING BALANCE]]*(InterestRate/PaymentsPerYear),"")</f>
        <v/>
      </c>
      <c r="J22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24" s="32" t="str">
        <f>IF(PaymentSchedule434[[#This Row],[PMT NO]]&lt;&gt;"",SUM(INDEX(PaymentSchedule434[INTEREST],1,1):PaymentSchedule434[[#This Row],[INTEREST]]),"")</f>
        <v/>
      </c>
    </row>
    <row r="225" spans="2:11" x14ac:dyDescent="0.3">
      <c r="B225" s="30" t="str">
        <f>IF(LoanIsGood,IF(ROW()-ROW(PaymentSchedule434[[#Headers],[PMT NO]])&gt;ScheduledNumberOfPayments,"",ROW()-ROW(PaymentSchedule434[[#Headers],[PMT NO]])),"")</f>
        <v/>
      </c>
      <c r="C225" s="31" t="str">
        <f>IF(PaymentSchedule434[[#This Row],[PMT NO]]&lt;&gt;"",EOMONTH(LoanStartDate,ROW(PaymentSchedule434[[#This Row],[PMT NO]])-ROW(PaymentSchedule434[[#Headers],[PMT NO]])-2)+DAY(LoanStartDate),"")</f>
        <v/>
      </c>
      <c r="D22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25" s="32" t="str">
        <f>IF(PaymentSchedule434[[#This Row],[PMT NO]]&lt;&gt;"",ScheduledPayment,"")</f>
        <v/>
      </c>
      <c r="F22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2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25" s="32" t="str">
        <f>IF(PaymentSchedule434[[#This Row],[PMT NO]]&lt;&gt;"",PaymentSchedule434[[#This Row],[TOTAL PAYMENT]]-PaymentSchedule434[[#This Row],[INTEREST]],"")</f>
        <v/>
      </c>
      <c r="I225" s="32" t="str">
        <f>IF(PaymentSchedule434[[#This Row],[PMT NO]]&lt;&gt;"",PaymentSchedule434[[#This Row],[BEGINNING BALANCE]]*(InterestRate/PaymentsPerYear),"")</f>
        <v/>
      </c>
      <c r="J22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25" s="32" t="str">
        <f>IF(PaymentSchedule434[[#This Row],[PMT NO]]&lt;&gt;"",SUM(INDEX(PaymentSchedule434[INTEREST],1,1):PaymentSchedule434[[#This Row],[INTEREST]]),"")</f>
        <v/>
      </c>
    </row>
    <row r="226" spans="2:11" x14ac:dyDescent="0.3">
      <c r="B226" s="30" t="str">
        <f>IF(LoanIsGood,IF(ROW()-ROW(PaymentSchedule434[[#Headers],[PMT NO]])&gt;ScheduledNumberOfPayments,"",ROW()-ROW(PaymentSchedule434[[#Headers],[PMT NO]])),"")</f>
        <v/>
      </c>
      <c r="C226" s="31" t="str">
        <f>IF(PaymentSchedule434[[#This Row],[PMT NO]]&lt;&gt;"",EOMONTH(LoanStartDate,ROW(PaymentSchedule434[[#This Row],[PMT NO]])-ROW(PaymentSchedule434[[#Headers],[PMT NO]])-2)+DAY(LoanStartDate),"")</f>
        <v/>
      </c>
      <c r="D22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26" s="32" t="str">
        <f>IF(PaymentSchedule434[[#This Row],[PMT NO]]&lt;&gt;"",ScheduledPayment,"")</f>
        <v/>
      </c>
      <c r="F22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2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26" s="32" t="str">
        <f>IF(PaymentSchedule434[[#This Row],[PMT NO]]&lt;&gt;"",PaymentSchedule434[[#This Row],[TOTAL PAYMENT]]-PaymentSchedule434[[#This Row],[INTEREST]],"")</f>
        <v/>
      </c>
      <c r="I226" s="32" t="str">
        <f>IF(PaymentSchedule434[[#This Row],[PMT NO]]&lt;&gt;"",PaymentSchedule434[[#This Row],[BEGINNING BALANCE]]*(InterestRate/PaymentsPerYear),"")</f>
        <v/>
      </c>
      <c r="J22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26" s="32" t="str">
        <f>IF(PaymentSchedule434[[#This Row],[PMT NO]]&lt;&gt;"",SUM(INDEX(PaymentSchedule434[INTEREST],1,1):PaymentSchedule434[[#This Row],[INTEREST]]),"")</f>
        <v/>
      </c>
    </row>
    <row r="227" spans="2:11" x14ac:dyDescent="0.3">
      <c r="B227" s="30" t="str">
        <f>IF(LoanIsGood,IF(ROW()-ROW(PaymentSchedule434[[#Headers],[PMT NO]])&gt;ScheduledNumberOfPayments,"",ROW()-ROW(PaymentSchedule434[[#Headers],[PMT NO]])),"")</f>
        <v/>
      </c>
      <c r="C227" s="31" t="str">
        <f>IF(PaymentSchedule434[[#This Row],[PMT NO]]&lt;&gt;"",EOMONTH(LoanStartDate,ROW(PaymentSchedule434[[#This Row],[PMT NO]])-ROW(PaymentSchedule434[[#Headers],[PMT NO]])-2)+DAY(LoanStartDate),"")</f>
        <v/>
      </c>
      <c r="D22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27" s="32" t="str">
        <f>IF(PaymentSchedule434[[#This Row],[PMT NO]]&lt;&gt;"",ScheduledPayment,"")</f>
        <v/>
      </c>
      <c r="F22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2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27" s="32" t="str">
        <f>IF(PaymentSchedule434[[#This Row],[PMT NO]]&lt;&gt;"",PaymentSchedule434[[#This Row],[TOTAL PAYMENT]]-PaymentSchedule434[[#This Row],[INTEREST]],"")</f>
        <v/>
      </c>
      <c r="I227" s="32" t="str">
        <f>IF(PaymentSchedule434[[#This Row],[PMT NO]]&lt;&gt;"",PaymentSchedule434[[#This Row],[BEGINNING BALANCE]]*(InterestRate/PaymentsPerYear),"")</f>
        <v/>
      </c>
      <c r="J22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27" s="32" t="str">
        <f>IF(PaymentSchedule434[[#This Row],[PMT NO]]&lt;&gt;"",SUM(INDEX(PaymentSchedule434[INTEREST],1,1):PaymentSchedule434[[#This Row],[INTEREST]]),"")</f>
        <v/>
      </c>
    </row>
    <row r="228" spans="2:11" x14ac:dyDescent="0.3">
      <c r="B228" s="30" t="str">
        <f>IF(LoanIsGood,IF(ROW()-ROW(PaymentSchedule434[[#Headers],[PMT NO]])&gt;ScheduledNumberOfPayments,"",ROW()-ROW(PaymentSchedule434[[#Headers],[PMT NO]])),"")</f>
        <v/>
      </c>
      <c r="C228" s="31" t="str">
        <f>IF(PaymentSchedule434[[#This Row],[PMT NO]]&lt;&gt;"",EOMONTH(LoanStartDate,ROW(PaymentSchedule434[[#This Row],[PMT NO]])-ROW(PaymentSchedule434[[#Headers],[PMT NO]])-2)+DAY(LoanStartDate),"")</f>
        <v/>
      </c>
      <c r="D22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28" s="32" t="str">
        <f>IF(PaymentSchedule434[[#This Row],[PMT NO]]&lt;&gt;"",ScheduledPayment,"")</f>
        <v/>
      </c>
      <c r="F22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2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28" s="32" t="str">
        <f>IF(PaymentSchedule434[[#This Row],[PMT NO]]&lt;&gt;"",PaymentSchedule434[[#This Row],[TOTAL PAYMENT]]-PaymentSchedule434[[#This Row],[INTEREST]],"")</f>
        <v/>
      </c>
      <c r="I228" s="32" t="str">
        <f>IF(PaymentSchedule434[[#This Row],[PMT NO]]&lt;&gt;"",PaymentSchedule434[[#This Row],[BEGINNING BALANCE]]*(InterestRate/PaymentsPerYear),"")</f>
        <v/>
      </c>
      <c r="J22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28" s="32" t="str">
        <f>IF(PaymentSchedule434[[#This Row],[PMT NO]]&lt;&gt;"",SUM(INDEX(PaymentSchedule434[INTEREST],1,1):PaymentSchedule434[[#This Row],[INTEREST]]),"")</f>
        <v/>
      </c>
    </row>
    <row r="229" spans="2:11" x14ac:dyDescent="0.3">
      <c r="B229" s="30" t="str">
        <f>IF(LoanIsGood,IF(ROW()-ROW(PaymentSchedule434[[#Headers],[PMT NO]])&gt;ScheduledNumberOfPayments,"",ROW()-ROW(PaymentSchedule434[[#Headers],[PMT NO]])),"")</f>
        <v/>
      </c>
      <c r="C229" s="31" t="str">
        <f>IF(PaymentSchedule434[[#This Row],[PMT NO]]&lt;&gt;"",EOMONTH(LoanStartDate,ROW(PaymentSchedule434[[#This Row],[PMT NO]])-ROW(PaymentSchedule434[[#Headers],[PMT NO]])-2)+DAY(LoanStartDate),"")</f>
        <v/>
      </c>
      <c r="D22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29" s="32" t="str">
        <f>IF(PaymentSchedule434[[#This Row],[PMT NO]]&lt;&gt;"",ScheduledPayment,"")</f>
        <v/>
      </c>
      <c r="F22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2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29" s="32" t="str">
        <f>IF(PaymentSchedule434[[#This Row],[PMT NO]]&lt;&gt;"",PaymentSchedule434[[#This Row],[TOTAL PAYMENT]]-PaymentSchedule434[[#This Row],[INTEREST]],"")</f>
        <v/>
      </c>
      <c r="I229" s="32" t="str">
        <f>IF(PaymentSchedule434[[#This Row],[PMT NO]]&lt;&gt;"",PaymentSchedule434[[#This Row],[BEGINNING BALANCE]]*(InterestRate/PaymentsPerYear),"")</f>
        <v/>
      </c>
      <c r="J22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29" s="32" t="str">
        <f>IF(PaymentSchedule434[[#This Row],[PMT NO]]&lt;&gt;"",SUM(INDEX(PaymentSchedule434[INTEREST],1,1):PaymentSchedule434[[#This Row],[INTEREST]]),"")</f>
        <v/>
      </c>
    </row>
    <row r="230" spans="2:11" x14ac:dyDescent="0.3">
      <c r="B230" s="30" t="str">
        <f>IF(LoanIsGood,IF(ROW()-ROW(PaymentSchedule434[[#Headers],[PMT NO]])&gt;ScheduledNumberOfPayments,"",ROW()-ROW(PaymentSchedule434[[#Headers],[PMT NO]])),"")</f>
        <v/>
      </c>
      <c r="C230" s="31" t="str">
        <f>IF(PaymentSchedule434[[#This Row],[PMT NO]]&lt;&gt;"",EOMONTH(LoanStartDate,ROW(PaymentSchedule434[[#This Row],[PMT NO]])-ROW(PaymentSchedule434[[#Headers],[PMT NO]])-2)+DAY(LoanStartDate),"")</f>
        <v/>
      </c>
      <c r="D23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30" s="32" t="str">
        <f>IF(PaymentSchedule434[[#This Row],[PMT NO]]&lt;&gt;"",ScheduledPayment,"")</f>
        <v/>
      </c>
      <c r="F23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3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30" s="32" t="str">
        <f>IF(PaymentSchedule434[[#This Row],[PMT NO]]&lt;&gt;"",PaymentSchedule434[[#This Row],[TOTAL PAYMENT]]-PaymentSchedule434[[#This Row],[INTEREST]],"")</f>
        <v/>
      </c>
      <c r="I230" s="32" t="str">
        <f>IF(PaymentSchedule434[[#This Row],[PMT NO]]&lt;&gt;"",PaymentSchedule434[[#This Row],[BEGINNING BALANCE]]*(InterestRate/PaymentsPerYear),"")</f>
        <v/>
      </c>
      <c r="J23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30" s="32" t="str">
        <f>IF(PaymentSchedule434[[#This Row],[PMT NO]]&lt;&gt;"",SUM(INDEX(PaymentSchedule434[INTEREST],1,1):PaymentSchedule434[[#This Row],[INTEREST]]),"")</f>
        <v/>
      </c>
    </row>
    <row r="231" spans="2:11" x14ac:dyDescent="0.3">
      <c r="B231" s="30" t="str">
        <f>IF(LoanIsGood,IF(ROW()-ROW(PaymentSchedule434[[#Headers],[PMT NO]])&gt;ScheduledNumberOfPayments,"",ROW()-ROW(PaymentSchedule434[[#Headers],[PMT NO]])),"")</f>
        <v/>
      </c>
      <c r="C231" s="31" t="str">
        <f>IF(PaymentSchedule434[[#This Row],[PMT NO]]&lt;&gt;"",EOMONTH(LoanStartDate,ROW(PaymentSchedule434[[#This Row],[PMT NO]])-ROW(PaymentSchedule434[[#Headers],[PMT NO]])-2)+DAY(LoanStartDate),"")</f>
        <v/>
      </c>
      <c r="D23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31" s="32" t="str">
        <f>IF(PaymentSchedule434[[#This Row],[PMT NO]]&lt;&gt;"",ScheduledPayment,"")</f>
        <v/>
      </c>
      <c r="F23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3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31" s="32" t="str">
        <f>IF(PaymentSchedule434[[#This Row],[PMT NO]]&lt;&gt;"",PaymentSchedule434[[#This Row],[TOTAL PAYMENT]]-PaymentSchedule434[[#This Row],[INTEREST]],"")</f>
        <v/>
      </c>
      <c r="I231" s="32" t="str">
        <f>IF(PaymentSchedule434[[#This Row],[PMT NO]]&lt;&gt;"",PaymentSchedule434[[#This Row],[BEGINNING BALANCE]]*(InterestRate/PaymentsPerYear),"")</f>
        <v/>
      </c>
      <c r="J23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31" s="32" t="str">
        <f>IF(PaymentSchedule434[[#This Row],[PMT NO]]&lt;&gt;"",SUM(INDEX(PaymentSchedule434[INTEREST],1,1):PaymentSchedule434[[#This Row],[INTEREST]]),"")</f>
        <v/>
      </c>
    </row>
    <row r="232" spans="2:11" x14ac:dyDescent="0.3">
      <c r="B232" s="30" t="str">
        <f>IF(LoanIsGood,IF(ROW()-ROW(PaymentSchedule434[[#Headers],[PMT NO]])&gt;ScheduledNumberOfPayments,"",ROW()-ROW(PaymentSchedule434[[#Headers],[PMT NO]])),"")</f>
        <v/>
      </c>
      <c r="C232" s="31" t="str">
        <f>IF(PaymentSchedule434[[#This Row],[PMT NO]]&lt;&gt;"",EOMONTH(LoanStartDate,ROW(PaymentSchedule434[[#This Row],[PMT NO]])-ROW(PaymentSchedule434[[#Headers],[PMT NO]])-2)+DAY(LoanStartDate),"")</f>
        <v/>
      </c>
      <c r="D23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32" s="32" t="str">
        <f>IF(PaymentSchedule434[[#This Row],[PMT NO]]&lt;&gt;"",ScheduledPayment,"")</f>
        <v/>
      </c>
      <c r="F23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3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32" s="32" t="str">
        <f>IF(PaymentSchedule434[[#This Row],[PMT NO]]&lt;&gt;"",PaymentSchedule434[[#This Row],[TOTAL PAYMENT]]-PaymentSchedule434[[#This Row],[INTEREST]],"")</f>
        <v/>
      </c>
      <c r="I232" s="32" t="str">
        <f>IF(PaymentSchedule434[[#This Row],[PMT NO]]&lt;&gt;"",PaymentSchedule434[[#This Row],[BEGINNING BALANCE]]*(InterestRate/PaymentsPerYear),"")</f>
        <v/>
      </c>
      <c r="J23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32" s="32" t="str">
        <f>IF(PaymentSchedule434[[#This Row],[PMT NO]]&lt;&gt;"",SUM(INDEX(PaymentSchedule434[INTEREST],1,1):PaymentSchedule434[[#This Row],[INTEREST]]),"")</f>
        <v/>
      </c>
    </row>
    <row r="233" spans="2:11" x14ac:dyDescent="0.3">
      <c r="B233" s="30" t="str">
        <f>IF(LoanIsGood,IF(ROW()-ROW(PaymentSchedule434[[#Headers],[PMT NO]])&gt;ScheduledNumberOfPayments,"",ROW()-ROW(PaymentSchedule434[[#Headers],[PMT NO]])),"")</f>
        <v/>
      </c>
      <c r="C233" s="31" t="str">
        <f>IF(PaymentSchedule434[[#This Row],[PMT NO]]&lt;&gt;"",EOMONTH(LoanStartDate,ROW(PaymentSchedule434[[#This Row],[PMT NO]])-ROW(PaymentSchedule434[[#Headers],[PMT NO]])-2)+DAY(LoanStartDate),"")</f>
        <v/>
      </c>
      <c r="D23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33" s="32" t="str">
        <f>IF(PaymentSchedule434[[#This Row],[PMT NO]]&lt;&gt;"",ScheduledPayment,"")</f>
        <v/>
      </c>
      <c r="F23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3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33" s="32" t="str">
        <f>IF(PaymentSchedule434[[#This Row],[PMT NO]]&lt;&gt;"",PaymentSchedule434[[#This Row],[TOTAL PAYMENT]]-PaymentSchedule434[[#This Row],[INTEREST]],"")</f>
        <v/>
      </c>
      <c r="I233" s="32" t="str">
        <f>IF(PaymentSchedule434[[#This Row],[PMT NO]]&lt;&gt;"",PaymentSchedule434[[#This Row],[BEGINNING BALANCE]]*(InterestRate/PaymentsPerYear),"")</f>
        <v/>
      </c>
      <c r="J23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33" s="32" t="str">
        <f>IF(PaymentSchedule434[[#This Row],[PMT NO]]&lt;&gt;"",SUM(INDEX(PaymentSchedule434[INTEREST],1,1):PaymentSchedule434[[#This Row],[INTEREST]]),"")</f>
        <v/>
      </c>
    </row>
    <row r="234" spans="2:11" x14ac:dyDescent="0.3">
      <c r="B234" s="30" t="str">
        <f>IF(LoanIsGood,IF(ROW()-ROW(PaymentSchedule434[[#Headers],[PMT NO]])&gt;ScheduledNumberOfPayments,"",ROW()-ROW(PaymentSchedule434[[#Headers],[PMT NO]])),"")</f>
        <v/>
      </c>
      <c r="C234" s="31" t="str">
        <f>IF(PaymentSchedule434[[#This Row],[PMT NO]]&lt;&gt;"",EOMONTH(LoanStartDate,ROW(PaymentSchedule434[[#This Row],[PMT NO]])-ROW(PaymentSchedule434[[#Headers],[PMT NO]])-2)+DAY(LoanStartDate),"")</f>
        <v/>
      </c>
      <c r="D23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34" s="32" t="str">
        <f>IF(PaymentSchedule434[[#This Row],[PMT NO]]&lt;&gt;"",ScheduledPayment,"")</f>
        <v/>
      </c>
      <c r="F23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3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34" s="32" t="str">
        <f>IF(PaymentSchedule434[[#This Row],[PMT NO]]&lt;&gt;"",PaymentSchedule434[[#This Row],[TOTAL PAYMENT]]-PaymentSchedule434[[#This Row],[INTEREST]],"")</f>
        <v/>
      </c>
      <c r="I234" s="32" t="str">
        <f>IF(PaymentSchedule434[[#This Row],[PMT NO]]&lt;&gt;"",PaymentSchedule434[[#This Row],[BEGINNING BALANCE]]*(InterestRate/PaymentsPerYear),"")</f>
        <v/>
      </c>
      <c r="J23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34" s="32" t="str">
        <f>IF(PaymentSchedule434[[#This Row],[PMT NO]]&lt;&gt;"",SUM(INDEX(PaymentSchedule434[INTEREST],1,1):PaymentSchedule434[[#This Row],[INTEREST]]),"")</f>
        <v/>
      </c>
    </row>
    <row r="235" spans="2:11" x14ac:dyDescent="0.3">
      <c r="B235" s="30" t="str">
        <f>IF(LoanIsGood,IF(ROW()-ROW(PaymentSchedule434[[#Headers],[PMT NO]])&gt;ScheduledNumberOfPayments,"",ROW()-ROW(PaymentSchedule434[[#Headers],[PMT NO]])),"")</f>
        <v/>
      </c>
      <c r="C235" s="31" t="str">
        <f>IF(PaymentSchedule434[[#This Row],[PMT NO]]&lt;&gt;"",EOMONTH(LoanStartDate,ROW(PaymentSchedule434[[#This Row],[PMT NO]])-ROW(PaymentSchedule434[[#Headers],[PMT NO]])-2)+DAY(LoanStartDate),"")</f>
        <v/>
      </c>
      <c r="D23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35" s="32" t="str">
        <f>IF(PaymentSchedule434[[#This Row],[PMT NO]]&lt;&gt;"",ScheduledPayment,"")</f>
        <v/>
      </c>
      <c r="F23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3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35" s="32" t="str">
        <f>IF(PaymentSchedule434[[#This Row],[PMT NO]]&lt;&gt;"",PaymentSchedule434[[#This Row],[TOTAL PAYMENT]]-PaymentSchedule434[[#This Row],[INTEREST]],"")</f>
        <v/>
      </c>
      <c r="I235" s="32" t="str">
        <f>IF(PaymentSchedule434[[#This Row],[PMT NO]]&lt;&gt;"",PaymentSchedule434[[#This Row],[BEGINNING BALANCE]]*(InterestRate/PaymentsPerYear),"")</f>
        <v/>
      </c>
      <c r="J23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35" s="32" t="str">
        <f>IF(PaymentSchedule434[[#This Row],[PMT NO]]&lt;&gt;"",SUM(INDEX(PaymentSchedule434[INTEREST],1,1):PaymentSchedule434[[#This Row],[INTEREST]]),"")</f>
        <v/>
      </c>
    </row>
    <row r="236" spans="2:11" x14ac:dyDescent="0.3">
      <c r="B236" s="30" t="str">
        <f>IF(LoanIsGood,IF(ROW()-ROW(PaymentSchedule434[[#Headers],[PMT NO]])&gt;ScheduledNumberOfPayments,"",ROW()-ROW(PaymentSchedule434[[#Headers],[PMT NO]])),"")</f>
        <v/>
      </c>
      <c r="C236" s="31" t="str">
        <f>IF(PaymentSchedule434[[#This Row],[PMT NO]]&lt;&gt;"",EOMONTH(LoanStartDate,ROW(PaymentSchedule434[[#This Row],[PMT NO]])-ROW(PaymentSchedule434[[#Headers],[PMT NO]])-2)+DAY(LoanStartDate),"")</f>
        <v/>
      </c>
      <c r="D23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36" s="32" t="str">
        <f>IF(PaymentSchedule434[[#This Row],[PMT NO]]&lt;&gt;"",ScheduledPayment,"")</f>
        <v/>
      </c>
      <c r="F23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3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36" s="32" t="str">
        <f>IF(PaymentSchedule434[[#This Row],[PMT NO]]&lt;&gt;"",PaymentSchedule434[[#This Row],[TOTAL PAYMENT]]-PaymentSchedule434[[#This Row],[INTEREST]],"")</f>
        <v/>
      </c>
      <c r="I236" s="32" t="str">
        <f>IF(PaymentSchedule434[[#This Row],[PMT NO]]&lt;&gt;"",PaymentSchedule434[[#This Row],[BEGINNING BALANCE]]*(InterestRate/PaymentsPerYear),"")</f>
        <v/>
      </c>
      <c r="J23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36" s="32" t="str">
        <f>IF(PaymentSchedule434[[#This Row],[PMT NO]]&lt;&gt;"",SUM(INDEX(PaymentSchedule434[INTEREST],1,1):PaymentSchedule434[[#This Row],[INTEREST]]),"")</f>
        <v/>
      </c>
    </row>
    <row r="237" spans="2:11" x14ac:dyDescent="0.3">
      <c r="B237" s="30" t="str">
        <f>IF(LoanIsGood,IF(ROW()-ROW(PaymentSchedule434[[#Headers],[PMT NO]])&gt;ScheduledNumberOfPayments,"",ROW()-ROW(PaymentSchedule434[[#Headers],[PMT NO]])),"")</f>
        <v/>
      </c>
      <c r="C237" s="31" t="str">
        <f>IF(PaymentSchedule434[[#This Row],[PMT NO]]&lt;&gt;"",EOMONTH(LoanStartDate,ROW(PaymentSchedule434[[#This Row],[PMT NO]])-ROW(PaymentSchedule434[[#Headers],[PMT NO]])-2)+DAY(LoanStartDate),"")</f>
        <v/>
      </c>
      <c r="D23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37" s="32" t="str">
        <f>IF(PaymentSchedule434[[#This Row],[PMT NO]]&lt;&gt;"",ScheduledPayment,"")</f>
        <v/>
      </c>
      <c r="F23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3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37" s="32" t="str">
        <f>IF(PaymentSchedule434[[#This Row],[PMT NO]]&lt;&gt;"",PaymentSchedule434[[#This Row],[TOTAL PAYMENT]]-PaymentSchedule434[[#This Row],[INTEREST]],"")</f>
        <v/>
      </c>
      <c r="I237" s="32" t="str">
        <f>IF(PaymentSchedule434[[#This Row],[PMT NO]]&lt;&gt;"",PaymentSchedule434[[#This Row],[BEGINNING BALANCE]]*(InterestRate/PaymentsPerYear),"")</f>
        <v/>
      </c>
      <c r="J23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37" s="32" t="str">
        <f>IF(PaymentSchedule434[[#This Row],[PMT NO]]&lt;&gt;"",SUM(INDEX(PaymentSchedule434[INTEREST],1,1):PaymentSchedule434[[#This Row],[INTEREST]]),"")</f>
        <v/>
      </c>
    </row>
    <row r="238" spans="2:11" x14ac:dyDescent="0.3">
      <c r="B238" s="30" t="str">
        <f>IF(LoanIsGood,IF(ROW()-ROW(PaymentSchedule434[[#Headers],[PMT NO]])&gt;ScheduledNumberOfPayments,"",ROW()-ROW(PaymentSchedule434[[#Headers],[PMT NO]])),"")</f>
        <v/>
      </c>
      <c r="C238" s="31" t="str">
        <f>IF(PaymentSchedule434[[#This Row],[PMT NO]]&lt;&gt;"",EOMONTH(LoanStartDate,ROW(PaymentSchedule434[[#This Row],[PMT NO]])-ROW(PaymentSchedule434[[#Headers],[PMT NO]])-2)+DAY(LoanStartDate),"")</f>
        <v/>
      </c>
      <c r="D23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38" s="32" t="str">
        <f>IF(PaymentSchedule434[[#This Row],[PMT NO]]&lt;&gt;"",ScheduledPayment,"")</f>
        <v/>
      </c>
      <c r="F23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3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38" s="32" t="str">
        <f>IF(PaymentSchedule434[[#This Row],[PMT NO]]&lt;&gt;"",PaymentSchedule434[[#This Row],[TOTAL PAYMENT]]-PaymentSchedule434[[#This Row],[INTEREST]],"")</f>
        <v/>
      </c>
      <c r="I238" s="32" t="str">
        <f>IF(PaymentSchedule434[[#This Row],[PMT NO]]&lt;&gt;"",PaymentSchedule434[[#This Row],[BEGINNING BALANCE]]*(InterestRate/PaymentsPerYear),"")</f>
        <v/>
      </c>
      <c r="J23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38" s="32" t="str">
        <f>IF(PaymentSchedule434[[#This Row],[PMT NO]]&lt;&gt;"",SUM(INDEX(PaymentSchedule434[INTEREST],1,1):PaymentSchedule434[[#This Row],[INTEREST]]),"")</f>
        <v/>
      </c>
    </row>
    <row r="239" spans="2:11" x14ac:dyDescent="0.3">
      <c r="B239" s="30" t="str">
        <f>IF(LoanIsGood,IF(ROW()-ROW(PaymentSchedule434[[#Headers],[PMT NO]])&gt;ScheduledNumberOfPayments,"",ROW()-ROW(PaymentSchedule434[[#Headers],[PMT NO]])),"")</f>
        <v/>
      </c>
      <c r="C239" s="31" t="str">
        <f>IF(PaymentSchedule434[[#This Row],[PMT NO]]&lt;&gt;"",EOMONTH(LoanStartDate,ROW(PaymentSchedule434[[#This Row],[PMT NO]])-ROW(PaymentSchedule434[[#Headers],[PMT NO]])-2)+DAY(LoanStartDate),"")</f>
        <v/>
      </c>
      <c r="D23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39" s="32" t="str">
        <f>IF(PaymentSchedule434[[#This Row],[PMT NO]]&lt;&gt;"",ScheduledPayment,"")</f>
        <v/>
      </c>
      <c r="F23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3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39" s="32" t="str">
        <f>IF(PaymentSchedule434[[#This Row],[PMT NO]]&lt;&gt;"",PaymentSchedule434[[#This Row],[TOTAL PAYMENT]]-PaymentSchedule434[[#This Row],[INTEREST]],"")</f>
        <v/>
      </c>
      <c r="I239" s="32" t="str">
        <f>IF(PaymentSchedule434[[#This Row],[PMT NO]]&lt;&gt;"",PaymentSchedule434[[#This Row],[BEGINNING BALANCE]]*(InterestRate/PaymentsPerYear),"")</f>
        <v/>
      </c>
      <c r="J23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39" s="32" t="str">
        <f>IF(PaymentSchedule434[[#This Row],[PMT NO]]&lt;&gt;"",SUM(INDEX(PaymentSchedule434[INTEREST],1,1):PaymentSchedule434[[#This Row],[INTEREST]]),"")</f>
        <v/>
      </c>
    </row>
    <row r="240" spans="2:11" x14ac:dyDescent="0.3">
      <c r="B240" s="30" t="str">
        <f>IF(LoanIsGood,IF(ROW()-ROW(PaymentSchedule434[[#Headers],[PMT NO]])&gt;ScheduledNumberOfPayments,"",ROW()-ROW(PaymentSchedule434[[#Headers],[PMT NO]])),"")</f>
        <v/>
      </c>
      <c r="C240" s="31" t="str">
        <f>IF(PaymentSchedule434[[#This Row],[PMT NO]]&lt;&gt;"",EOMONTH(LoanStartDate,ROW(PaymentSchedule434[[#This Row],[PMT NO]])-ROW(PaymentSchedule434[[#Headers],[PMT NO]])-2)+DAY(LoanStartDate),"")</f>
        <v/>
      </c>
      <c r="D24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40" s="32" t="str">
        <f>IF(PaymentSchedule434[[#This Row],[PMT NO]]&lt;&gt;"",ScheduledPayment,"")</f>
        <v/>
      </c>
      <c r="F24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4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40" s="32" t="str">
        <f>IF(PaymentSchedule434[[#This Row],[PMT NO]]&lt;&gt;"",PaymentSchedule434[[#This Row],[TOTAL PAYMENT]]-PaymentSchedule434[[#This Row],[INTEREST]],"")</f>
        <v/>
      </c>
      <c r="I240" s="32" t="str">
        <f>IF(PaymentSchedule434[[#This Row],[PMT NO]]&lt;&gt;"",PaymentSchedule434[[#This Row],[BEGINNING BALANCE]]*(InterestRate/PaymentsPerYear),"")</f>
        <v/>
      </c>
      <c r="J24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40" s="32" t="str">
        <f>IF(PaymentSchedule434[[#This Row],[PMT NO]]&lt;&gt;"",SUM(INDEX(PaymentSchedule434[INTEREST],1,1):PaymentSchedule434[[#This Row],[INTEREST]]),"")</f>
        <v/>
      </c>
    </row>
    <row r="241" spans="2:11" x14ac:dyDescent="0.3">
      <c r="B241" s="30" t="str">
        <f>IF(LoanIsGood,IF(ROW()-ROW(PaymentSchedule434[[#Headers],[PMT NO]])&gt;ScheduledNumberOfPayments,"",ROW()-ROW(PaymentSchedule434[[#Headers],[PMT NO]])),"")</f>
        <v/>
      </c>
      <c r="C241" s="31" t="str">
        <f>IF(PaymentSchedule434[[#This Row],[PMT NO]]&lt;&gt;"",EOMONTH(LoanStartDate,ROW(PaymentSchedule434[[#This Row],[PMT NO]])-ROW(PaymentSchedule434[[#Headers],[PMT NO]])-2)+DAY(LoanStartDate),"")</f>
        <v/>
      </c>
      <c r="D24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41" s="32" t="str">
        <f>IF(PaymentSchedule434[[#This Row],[PMT NO]]&lt;&gt;"",ScheduledPayment,"")</f>
        <v/>
      </c>
      <c r="F24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4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41" s="32" t="str">
        <f>IF(PaymentSchedule434[[#This Row],[PMT NO]]&lt;&gt;"",PaymentSchedule434[[#This Row],[TOTAL PAYMENT]]-PaymentSchedule434[[#This Row],[INTEREST]],"")</f>
        <v/>
      </c>
      <c r="I241" s="32" t="str">
        <f>IF(PaymentSchedule434[[#This Row],[PMT NO]]&lt;&gt;"",PaymentSchedule434[[#This Row],[BEGINNING BALANCE]]*(InterestRate/PaymentsPerYear),"")</f>
        <v/>
      </c>
      <c r="J24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41" s="32" t="str">
        <f>IF(PaymentSchedule434[[#This Row],[PMT NO]]&lt;&gt;"",SUM(INDEX(PaymentSchedule434[INTEREST],1,1):PaymentSchedule434[[#This Row],[INTEREST]]),"")</f>
        <v/>
      </c>
    </row>
    <row r="242" spans="2:11" x14ac:dyDescent="0.3">
      <c r="B242" s="30" t="str">
        <f>IF(LoanIsGood,IF(ROW()-ROW(PaymentSchedule434[[#Headers],[PMT NO]])&gt;ScheduledNumberOfPayments,"",ROW()-ROW(PaymentSchedule434[[#Headers],[PMT NO]])),"")</f>
        <v/>
      </c>
      <c r="C242" s="31" t="str">
        <f>IF(PaymentSchedule434[[#This Row],[PMT NO]]&lt;&gt;"",EOMONTH(LoanStartDate,ROW(PaymentSchedule434[[#This Row],[PMT NO]])-ROW(PaymentSchedule434[[#Headers],[PMT NO]])-2)+DAY(LoanStartDate),"")</f>
        <v/>
      </c>
      <c r="D24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42" s="32" t="str">
        <f>IF(PaymentSchedule434[[#This Row],[PMT NO]]&lt;&gt;"",ScheduledPayment,"")</f>
        <v/>
      </c>
      <c r="F24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4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42" s="32" t="str">
        <f>IF(PaymentSchedule434[[#This Row],[PMT NO]]&lt;&gt;"",PaymentSchedule434[[#This Row],[TOTAL PAYMENT]]-PaymentSchedule434[[#This Row],[INTEREST]],"")</f>
        <v/>
      </c>
      <c r="I242" s="32" t="str">
        <f>IF(PaymentSchedule434[[#This Row],[PMT NO]]&lt;&gt;"",PaymentSchedule434[[#This Row],[BEGINNING BALANCE]]*(InterestRate/PaymentsPerYear),"")</f>
        <v/>
      </c>
      <c r="J24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42" s="32" t="str">
        <f>IF(PaymentSchedule434[[#This Row],[PMT NO]]&lt;&gt;"",SUM(INDEX(PaymentSchedule434[INTEREST],1,1):PaymentSchedule434[[#This Row],[INTEREST]]),"")</f>
        <v/>
      </c>
    </row>
    <row r="243" spans="2:11" x14ac:dyDescent="0.3">
      <c r="B243" s="30" t="str">
        <f>IF(LoanIsGood,IF(ROW()-ROW(PaymentSchedule434[[#Headers],[PMT NO]])&gt;ScheduledNumberOfPayments,"",ROW()-ROW(PaymentSchedule434[[#Headers],[PMT NO]])),"")</f>
        <v/>
      </c>
      <c r="C243" s="31" t="str">
        <f>IF(PaymentSchedule434[[#This Row],[PMT NO]]&lt;&gt;"",EOMONTH(LoanStartDate,ROW(PaymentSchedule434[[#This Row],[PMT NO]])-ROW(PaymentSchedule434[[#Headers],[PMT NO]])-2)+DAY(LoanStartDate),"")</f>
        <v/>
      </c>
      <c r="D24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43" s="32" t="str">
        <f>IF(PaymentSchedule434[[#This Row],[PMT NO]]&lt;&gt;"",ScheduledPayment,"")</f>
        <v/>
      </c>
      <c r="F24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4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43" s="32" t="str">
        <f>IF(PaymentSchedule434[[#This Row],[PMT NO]]&lt;&gt;"",PaymentSchedule434[[#This Row],[TOTAL PAYMENT]]-PaymentSchedule434[[#This Row],[INTEREST]],"")</f>
        <v/>
      </c>
      <c r="I243" s="32" t="str">
        <f>IF(PaymentSchedule434[[#This Row],[PMT NO]]&lt;&gt;"",PaymentSchedule434[[#This Row],[BEGINNING BALANCE]]*(InterestRate/PaymentsPerYear),"")</f>
        <v/>
      </c>
      <c r="J24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43" s="32" t="str">
        <f>IF(PaymentSchedule434[[#This Row],[PMT NO]]&lt;&gt;"",SUM(INDEX(PaymentSchedule434[INTEREST],1,1):PaymentSchedule434[[#This Row],[INTEREST]]),"")</f>
        <v/>
      </c>
    </row>
    <row r="244" spans="2:11" x14ac:dyDescent="0.3">
      <c r="B244" s="30" t="str">
        <f>IF(LoanIsGood,IF(ROW()-ROW(PaymentSchedule434[[#Headers],[PMT NO]])&gt;ScheduledNumberOfPayments,"",ROW()-ROW(PaymentSchedule434[[#Headers],[PMT NO]])),"")</f>
        <v/>
      </c>
      <c r="C244" s="31" t="str">
        <f>IF(PaymentSchedule434[[#This Row],[PMT NO]]&lt;&gt;"",EOMONTH(LoanStartDate,ROW(PaymentSchedule434[[#This Row],[PMT NO]])-ROW(PaymentSchedule434[[#Headers],[PMT NO]])-2)+DAY(LoanStartDate),"")</f>
        <v/>
      </c>
      <c r="D24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44" s="32" t="str">
        <f>IF(PaymentSchedule434[[#This Row],[PMT NO]]&lt;&gt;"",ScheduledPayment,"")</f>
        <v/>
      </c>
      <c r="F24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4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44" s="32" t="str">
        <f>IF(PaymentSchedule434[[#This Row],[PMT NO]]&lt;&gt;"",PaymentSchedule434[[#This Row],[TOTAL PAYMENT]]-PaymentSchedule434[[#This Row],[INTEREST]],"")</f>
        <v/>
      </c>
      <c r="I244" s="32" t="str">
        <f>IF(PaymentSchedule434[[#This Row],[PMT NO]]&lt;&gt;"",PaymentSchedule434[[#This Row],[BEGINNING BALANCE]]*(InterestRate/PaymentsPerYear),"")</f>
        <v/>
      </c>
      <c r="J24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44" s="32" t="str">
        <f>IF(PaymentSchedule434[[#This Row],[PMT NO]]&lt;&gt;"",SUM(INDEX(PaymentSchedule434[INTEREST],1,1):PaymentSchedule434[[#This Row],[INTEREST]]),"")</f>
        <v/>
      </c>
    </row>
    <row r="245" spans="2:11" x14ac:dyDescent="0.3">
      <c r="B245" s="30" t="str">
        <f>IF(LoanIsGood,IF(ROW()-ROW(PaymentSchedule434[[#Headers],[PMT NO]])&gt;ScheduledNumberOfPayments,"",ROW()-ROW(PaymentSchedule434[[#Headers],[PMT NO]])),"")</f>
        <v/>
      </c>
      <c r="C245" s="31" t="str">
        <f>IF(PaymentSchedule434[[#This Row],[PMT NO]]&lt;&gt;"",EOMONTH(LoanStartDate,ROW(PaymentSchedule434[[#This Row],[PMT NO]])-ROW(PaymentSchedule434[[#Headers],[PMT NO]])-2)+DAY(LoanStartDate),"")</f>
        <v/>
      </c>
      <c r="D24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45" s="32" t="str">
        <f>IF(PaymentSchedule434[[#This Row],[PMT NO]]&lt;&gt;"",ScheduledPayment,"")</f>
        <v/>
      </c>
      <c r="F24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4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45" s="32" t="str">
        <f>IF(PaymentSchedule434[[#This Row],[PMT NO]]&lt;&gt;"",PaymentSchedule434[[#This Row],[TOTAL PAYMENT]]-PaymentSchedule434[[#This Row],[INTEREST]],"")</f>
        <v/>
      </c>
      <c r="I245" s="32" t="str">
        <f>IF(PaymentSchedule434[[#This Row],[PMT NO]]&lt;&gt;"",PaymentSchedule434[[#This Row],[BEGINNING BALANCE]]*(InterestRate/PaymentsPerYear),"")</f>
        <v/>
      </c>
      <c r="J24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45" s="32" t="str">
        <f>IF(PaymentSchedule434[[#This Row],[PMT NO]]&lt;&gt;"",SUM(INDEX(PaymentSchedule434[INTEREST],1,1):PaymentSchedule434[[#This Row],[INTEREST]]),"")</f>
        <v/>
      </c>
    </row>
    <row r="246" spans="2:11" x14ac:dyDescent="0.3">
      <c r="B246" s="30" t="str">
        <f>IF(LoanIsGood,IF(ROW()-ROW(PaymentSchedule434[[#Headers],[PMT NO]])&gt;ScheduledNumberOfPayments,"",ROW()-ROW(PaymentSchedule434[[#Headers],[PMT NO]])),"")</f>
        <v/>
      </c>
      <c r="C246" s="31" t="str">
        <f>IF(PaymentSchedule434[[#This Row],[PMT NO]]&lt;&gt;"",EOMONTH(LoanStartDate,ROW(PaymentSchedule434[[#This Row],[PMT NO]])-ROW(PaymentSchedule434[[#Headers],[PMT NO]])-2)+DAY(LoanStartDate),"")</f>
        <v/>
      </c>
      <c r="D24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46" s="32" t="str">
        <f>IF(PaymentSchedule434[[#This Row],[PMT NO]]&lt;&gt;"",ScheduledPayment,"")</f>
        <v/>
      </c>
      <c r="F24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4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46" s="32" t="str">
        <f>IF(PaymentSchedule434[[#This Row],[PMT NO]]&lt;&gt;"",PaymentSchedule434[[#This Row],[TOTAL PAYMENT]]-PaymentSchedule434[[#This Row],[INTEREST]],"")</f>
        <v/>
      </c>
      <c r="I246" s="32" t="str">
        <f>IF(PaymentSchedule434[[#This Row],[PMT NO]]&lt;&gt;"",PaymentSchedule434[[#This Row],[BEGINNING BALANCE]]*(InterestRate/PaymentsPerYear),"")</f>
        <v/>
      </c>
      <c r="J24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46" s="32" t="str">
        <f>IF(PaymentSchedule434[[#This Row],[PMT NO]]&lt;&gt;"",SUM(INDEX(PaymentSchedule434[INTEREST],1,1):PaymentSchedule434[[#This Row],[INTEREST]]),"")</f>
        <v/>
      </c>
    </row>
    <row r="247" spans="2:11" x14ac:dyDescent="0.3">
      <c r="B247" s="30" t="str">
        <f>IF(LoanIsGood,IF(ROW()-ROW(PaymentSchedule434[[#Headers],[PMT NO]])&gt;ScheduledNumberOfPayments,"",ROW()-ROW(PaymentSchedule434[[#Headers],[PMT NO]])),"")</f>
        <v/>
      </c>
      <c r="C247" s="31" t="str">
        <f>IF(PaymentSchedule434[[#This Row],[PMT NO]]&lt;&gt;"",EOMONTH(LoanStartDate,ROW(PaymentSchedule434[[#This Row],[PMT NO]])-ROW(PaymentSchedule434[[#Headers],[PMT NO]])-2)+DAY(LoanStartDate),"")</f>
        <v/>
      </c>
      <c r="D24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47" s="32" t="str">
        <f>IF(PaymentSchedule434[[#This Row],[PMT NO]]&lt;&gt;"",ScheduledPayment,"")</f>
        <v/>
      </c>
      <c r="F24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4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47" s="32" t="str">
        <f>IF(PaymentSchedule434[[#This Row],[PMT NO]]&lt;&gt;"",PaymentSchedule434[[#This Row],[TOTAL PAYMENT]]-PaymentSchedule434[[#This Row],[INTEREST]],"")</f>
        <v/>
      </c>
      <c r="I247" s="32" t="str">
        <f>IF(PaymentSchedule434[[#This Row],[PMT NO]]&lt;&gt;"",PaymentSchedule434[[#This Row],[BEGINNING BALANCE]]*(InterestRate/PaymentsPerYear),"")</f>
        <v/>
      </c>
      <c r="J24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47" s="32" t="str">
        <f>IF(PaymentSchedule434[[#This Row],[PMT NO]]&lt;&gt;"",SUM(INDEX(PaymentSchedule434[INTEREST],1,1):PaymentSchedule434[[#This Row],[INTEREST]]),"")</f>
        <v/>
      </c>
    </row>
    <row r="248" spans="2:11" x14ac:dyDescent="0.3">
      <c r="B248" s="30" t="str">
        <f>IF(LoanIsGood,IF(ROW()-ROW(PaymentSchedule434[[#Headers],[PMT NO]])&gt;ScheduledNumberOfPayments,"",ROW()-ROW(PaymentSchedule434[[#Headers],[PMT NO]])),"")</f>
        <v/>
      </c>
      <c r="C248" s="31" t="str">
        <f>IF(PaymentSchedule434[[#This Row],[PMT NO]]&lt;&gt;"",EOMONTH(LoanStartDate,ROW(PaymentSchedule434[[#This Row],[PMT NO]])-ROW(PaymentSchedule434[[#Headers],[PMT NO]])-2)+DAY(LoanStartDate),"")</f>
        <v/>
      </c>
      <c r="D24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48" s="32" t="str">
        <f>IF(PaymentSchedule434[[#This Row],[PMT NO]]&lt;&gt;"",ScheduledPayment,"")</f>
        <v/>
      </c>
      <c r="F24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4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48" s="32" t="str">
        <f>IF(PaymentSchedule434[[#This Row],[PMT NO]]&lt;&gt;"",PaymentSchedule434[[#This Row],[TOTAL PAYMENT]]-PaymentSchedule434[[#This Row],[INTEREST]],"")</f>
        <v/>
      </c>
      <c r="I248" s="32" t="str">
        <f>IF(PaymentSchedule434[[#This Row],[PMT NO]]&lt;&gt;"",PaymentSchedule434[[#This Row],[BEGINNING BALANCE]]*(InterestRate/PaymentsPerYear),"")</f>
        <v/>
      </c>
      <c r="J24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48" s="32" t="str">
        <f>IF(PaymentSchedule434[[#This Row],[PMT NO]]&lt;&gt;"",SUM(INDEX(PaymentSchedule434[INTEREST],1,1):PaymentSchedule434[[#This Row],[INTEREST]]),"")</f>
        <v/>
      </c>
    </row>
    <row r="249" spans="2:11" x14ac:dyDescent="0.3">
      <c r="B249" s="30" t="str">
        <f>IF(LoanIsGood,IF(ROW()-ROW(PaymentSchedule434[[#Headers],[PMT NO]])&gt;ScheduledNumberOfPayments,"",ROW()-ROW(PaymentSchedule434[[#Headers],[PMT NO]])),"")</f>
        <v/>
      </c>
      <c r="C249" s="31" t="str">
        <f>IF(PaymentSchedule434[[#This Row],[PMT NO]]&lt;&gt;"",EOMONTH(LoanStartDate,ROW(PaymentSchedule434[[#This Row],[PMT NO]])-ROW(PaymentSchedule434[[#Headers],[PMT NO]])-2)+DAY(LoanStartDate),"")</f>
        <v/>
      </c>
      <c r="D24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49" s="32" t="str">
        <f>IF(PaymentSchedule434[[#This Row],[PMT NO]]&lt;&gt;"",ScheduledPayment,"")</f>
        <v/>
      </c>
      <c r="F24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4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49" s="32" t="str">
        <f>IF(PaymentSchedule434[[#This Row],[PMT NO]]&lt;&gt;"",PaymentSchedule434[[#This Row],[TOTAL PAYMENT]]-PaymentSchedule434[[#This Row],[INTEREST]],"")</f>
        <v/>
      </c>
      <c r="I249" s="32" t="str">
        <f>IF(PaymentSchedule434[[#This Row],[PMT NO]]&lt;&gt;"",PaymentSchedule434[[#This Row],[BEGINNING BALANCE]]*(InterestRate/PaymentsPerYear),"")</f>
        <v/>
      </c>
      <c r="J24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49" s="32" t="str">
        <f>IF(PaymentSchedule434[[#This Row],[PMT NO]]&lt;&gt;"",SUM(INDEX(PaymentSchedule434[INTEREST],1,1):PaymentSchedule434[[#This Row],[INTEREST]]),"")</f>
        <v/>
      </c>
    </row>
    <row r="250" spans="2:11" x14ac:dyDescent="0.3">
      <c r="B250" s="30" t="str">
        <f>IF(LoanIsGood,IF(ROW()-ROW(PaymentSchedule434[[#Headers],[PMT NO]])&gt;ScheduledNumberOfPayments,"",ROW()-ROW(PaymentSchedule434[[#Headers],[PMT NO]])),"")</f>
        <v/>
      </c>
      <c r="C250" s="31" t="str">
        <f>IF(PaymentSchedule434[[#This Row],[PMT NO]]&lt;&gt;"",EOMONTH(LoanStartDate,ROW(PaymentSchedule434[[#This Row],[PMT NO]])-ROW(PaymentSchedule434[[#Headers],[PMT NO]])-2)+DAY(LoanStartDate),"")</f>
        <v/>
      </c>
      <c r="D25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50" s="32" t="str">
        <f>IF(PaymentSchedule434[[#This Row],[PMT NO]]&lt;&gt;"",ScheduledPayment,"")</f>
        <v/>
      </c>
      <c r="F25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5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50" s="32" t="str">
        <f>IF(PaymentSchedule434[[#This Row],[PMT NO]]&lt;&gt;"",PaymentSchedule434[[#This Row],[TOTAL PAYMENT]]-PaymentSchedule434[[#This Row],[INTEREST]],"")</f>
        <v/>
      </c>
      <c r="I250" s="32" t="str">
        <f>IF(PaymentSchedule434[[#This Row],[PMT NO]]&lt;&gt;"",PaymentSchedule434[[#This Row],[BEGINNING BALANCE]]*(InterestRate/PaymentsPerYear),"")</f>
        <v/>
      </c>
      <c r="J25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50" s="32" t="str">
        <f>IF(PaymentSchedule434[[#This Row],[PMT NO]]&lt;&gt;"",SUM(INDEX(PaymentSchedule434[INTEREST],1,1):PaymentSchedule434[[#This Row],[INTEREST]]),"")</f>
        <v/>
      </c>
    </row>
    <row r="251" spans="2:11" x14ac:dyDescent="0.3">
      <c r="B251" s="30" t="str">
        <f>IF(LoanIsGood,IF(ROW()-ROW(PaymentSchedule434[[#Headers],[PMT NO]])&gt;ScheduledNumberOfPayments,"",ROW()-ROW(PaymentSchedule434[[#Headers],[PMT NO]])),"")</f>
        <v/>
      </c>
      <c r="C251" s="31" t="str">
        <f>IF(PaymentSchedule434[[#This Row],[PMT NO]]&lt;&gt;"",EOMONTH(LoanStartDate,ROW(PaymentSchedule434[[#This Row],[PMT NO]])-ROW(PaymentSchedule434[[#Headers],[PMT NO]])-2)+DAY(LoanStartDate),"")</f>
        <v/>
      </c>
      <c r="D25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51" s="32" t="str">
        <f>IF(PaymentSchedule434[[#This Row],[PMT NO]]&lt;&gt;"",ScheduledPayment,"")</f>
        <v/>
      </c>
      <c r="F25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5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51" s="32" t="str">
        <f>IF(PaymentSchedule434[[#This Row],[PMT NO]]&lt;&gt;"",PaymentSchedule434[[#This Row],[TOTAL PAYMENT]]-PaymentSchedule434[[#This Row],[INTEREST]],"")</f>
        <v/>
      </c>
      <c r="I251" s="32" t="str">
        <f>IF(PaymentSchedule434[[#This Row],[PMT NO]]&lt;&gt;"",PaymentSchedule434[[#This Row],[BEGINNING BALANCE]]*(InterestRate/PaymentsPerYear),"")</f>
        <v/>
      </c>
      <c r="J25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51" s="32" t="str">
        <f>IF(PaymentSchedule434[[#This Row],[PMT NO]]&lt;&gt;"",SUM(INDEX(PaymentSchedule434[INTEREST],1,1):PaymentSchedule434[[#This Row],[INTEREST]]),"")</f>
        <v/>
      </c>
    </row>
    <row r="252" spans="2:11" x14ac:dyDescent="0.3">
      <c r="B252" s="30" t="str">
        <f>IF(LoanIsGood,IF(ROW()-ROW(PaymentSchedule434[[#Headers],[PMT NO]])&gt;ScheduledNumberOfPayments,"",ROW()-ROW(PaymentSchedule434[[#Headers],[PMT NO]])),"")</f>
        <v/>
      </c>
      <c r="C252" s="31" t="str">
        <f>IF(PaymentSchedule434[[#This Row],[PMT NO]]&lt;&gt;"",EOMONTH(LoanStartDate,ROW(PaymentSchedule434[[#This Row],[PMT NO]])-ROW(PaymentSchedule434[[#Headers],[PMT NO]])-2)+DAY(LoanStartDate),"")</f>
        <v/>
      </c>
      <c r="D25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52" s="32" t="str">
        <f>IF(PaymentSchedule434[[#This Row],[PMT NO]]&lt;&gt;"",ScheduledPayment,"")</f>
        <v/>
      </c>
      <c r="F25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5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52" s="32" t="str">
        <f>IF(PaymentSchedule434[[#This Row],[PMT NO]]&lt;&gt;"",PaymentSchedule434[[#This Row],[TOTAL PAYMENT]]-PaymentSchedule434[[#This Row],[INTEREST]],"")</f>
        <v/>
      </c>
      <c r="I252" s="32" t="str">
        <f>IF(PaymentSchedule434[[#This Row],[PMT NO]]&lt;&gt;"",PaymentSchedule434[[#This Row],[BEGINNING BALANCE]]*(InterestRate/PaymentsPerYear),"")</f>
        <v/>
      </c>
      <c r="J25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52" s="32" t="str">
        <f>IF(PaymentSchedule434[[#This Row],[PMT NO]]&lt;&gt;"",SUM(INDEX(PaymentSchedule434[INTEREST],1,1):PaymentSchedule434[[#This Row],[INTEREST]]),"")</f>
        <v/>
      </c>
    </row>
    <row r="253" spans="2:11" x14ac:dyDescent="0.3">
      <c r="B253" s="30" t="str">
        <f>IF(LoanIsGood,IF(ROW()-ROW(PaymentSchedule434[[#Headers],[PMT NO]])&gt;ScheduledNumberOfPayments,"",ROW()-ROW(PaymentSchedule434[[#Headers],[PMT NO]])),"")</f>
        <v/>
      </c>
      <c r="C253" s="31" t="str">
        <f>IF(PaymentSchedule434[[#This Row],[PMT NO]]&lt;&gt;"",EOMONTH(LoanStartDate,ROW(PaymentSchedule434[[#This Row],[PMT NO]])-ROW(PaymentSchedule434[[#Headers],[PMT NO]])-2)+DAY(LoanStartDate),"")</f>
        <v/>
      </c>
      <c r="D25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53" s="32" t="str">
        <f>IF(PaymentSchedule434[[#This Row],[PMT NO]]&lt;&gt;"",ScheduledPayment,"")</f>
        <v/>
      </c>
      <c r="F25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5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53" s="32" t="str">
        <f>IF(PaymentSchedule434[[#This Row],[PMT NO]]&lt;&gt;"",PaymentSchedule434[[#This Row],[TOTAL PAYMENT]]-PaymentSchedule434[[#This Row],[INTEREST]],"")</f>
        <v/>
      </c>
      <c r="I253" s="32" t="str">
        <f>IF(PaymentSchedule434[[#This Row],[PMT NO]]&lt;&gt;"",PaymentSchedule434[[#This Row],[BEGINNING BALANCE]]*(InterestRate/PaymentsPerYear),"")</f>
        <v/>
      </c>
      <c r="J25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53" s="32" t="str">
        <f>IF(PaymentSchedule434[[#This Row],[PMT NO]]&lt;&gt;"",SUM(INDEX(PaymentSchedule434[INTEREST],1,1):PaymentSchedule434[[#This Row],[INTEREST]]),"")</f>
        <v/>
      </c>
    </row>
    <row r="254" spans="2:11" x14ac:dyDescent="0.3">
      <c r="B254" s="30" t="str">
        <f>IF(LoanIsGood,IF(ROW()-ROW(PaymentSchedule434[[#Headers],[PMT NO]])&gt;ScheduledNumberOfPayments,"",ROW()-ROW(PaymentSchedule434[[#Headers],[PMT NO]])),"")</f>
        <v/>
      </c>
      <c r="C254" s="31" t="str">
        <f>IF(PaymentSchedule434[[#This Row],[PMT NO]]&lt;&gt;"",EOMONTH(LoanStartDate,ROW(PaymentSchedule434[[#This Row],[PMT NO]])-ROW(PaymentSchedule434[[#Headers],[PMT NO]])-2)+DAY(LoanStartDate),"")</f>
        <v/>
      </c>
      <c r="D25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54" s="32" t="str">
        <f>IF(PaymentSchedule434[[#This Row],[PMT NO]]&lt;&gt;"",ScheduledPayment,"")</f>
        <v/>
      </c>
      <c r="F25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5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54" s="32" t="str">
        <f>IF(PaymentSchedule434[[#This Row],[PMT NO]]&lt;&gt;"",PaymentSchedule434[[#This Row],[TOTAL PAYMENT]]-PaymentSchedule434[[#This Row],[INTEREST]],"")</f>
        <v/>
      </c>
      <c r="I254" s="32" t="str">
        <f>IF(PaymentSchedule434[[#This Row],[PMT NO]]&lt;&gt;"",PaymentSchedule434[[#This Row],[BEGINNING BALANCE]]*(InterestRate/PaymentsPerYear),"")</f>
        <v/>
      </c>
      <c r="J25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54" s="32" t="str">
        <f>IF(PaymentSchedule434[[#This Row],[PMT NO]]&lt;&gt;"",SUM(INDEX(PaymentSchedule434[INTEREST],1,1):PaymentSchedule434[[#This Row],[INTEREST]]),"")</f>
        <v/>
      </c>
    </row>
    <row r="255" spans="2:11" x14ac:dyDescent="0.3">
      <c r="B255" s="30" t="str">
        <f>IF(LoanIsGood,IF(ROW()-ROW(PaymentSchedule434[[#Headers],[PMT NO]])&gt;ScheduledNumberOfPayments,"",ROW()-ROW(PaymentSchedule434[[#Headers],[PMT NO]])),"")</f>
        <v/>
      </c>
      <c r="C255" s="31" t="str">
        <f>IF(PaymentSchedule434[[#This Row],[PMT NO]]&lt;&gt;"",EOMONTH(LoanStartDate,ROW(PaymentSchedule434[[#This Row],[PMT NO]])-ROW(PaymentSchedule434[[#Headers],[PMT NO]])-2)+DAY(LoanStartDate),"")</f>
        <v/>
      </c>
      <c r="D25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55" s="32" t="str">
        <f>IF(PaymentSchedule434[[#This Row],[PMT NO]]&lt;&gt;"",ScheduledPayment,"")</f>
        <v/>
      </c>
      <c r="F25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5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55" s="32" t="str">
        <f>IF(PaymentSchedule434[[#This Row],[PMT NO]]&lt;&gt;"",PaymentSchedule434[[#This Row],[TOTAL PAYMENT]]-PaymentSchedule434[[#This Row],[INTEREST]],"")</f>
        <v/>
      </c>
      <c r="I255" s="32" t="str">
        <f>IF(PaymentSchedule434[[#This Row],[PMT NO]]&lt;&gt;"",PaymentSchedule434[[#This Row],[BEGINNING BALANCE]]*(InterestRate/PaymentsPerYear),"")</f>
        <v/>
      </c>
      <c r="J25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55" s="32" t="str">
        <f>IF(PaymentSchedule434[[#This Row],[PMT NO]]&lt;&gt;"",SUM(INDEX(PaymentSchedule434[INTEREST],1,1):PaymentSchedule434[[#This Row],[INTEREST]]),"")</f>
        <v/>
      </c>
    </row>
    <row r="256" spans="2:11" x14ac:dyDescent="0.3">
      <c r="B256" s="30" t="str">
        <f>IF(LoanIsGood,IF(ROW()-ROW(PaymentSchedule434[[#Headers],[PMT NO]])&gt;ScheduledNumberOfPayments,"",ROW()-ROW(PaymentSchedule434[[#Headers],[PMT NO]])),"")</f>
        <v/>
      </c>
      <c r="C256" s="31" t="str">
        <f>IF(PaymentSchedule434[[#This Row],[PMT NO]]&lt;&gt;"",EOMONTH(LoanStartDate,ROW(PaymentSchedule434[[#This Row],[PMT NO]])-ROW(PaymentSchedule434[[#Headers],[PMT NO]])-2)+DAY(LoanStartDate),"")</f>
        <v/>
      </c>
      <c r="D25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56" s="32" t="str">
        <f>IF(PaymentSchedule434[[#This Row],[PMT NO]]&lt;&gt;"",ScheduledPayment,"")</f>
        <v/>
      </c>
      <c r="F25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5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56" s="32" t="str">
        <f>IF(PaymentSchedule434[[#This Row],[PMT NO]]&lt;&gt;"",PaymentSchedule434[[#This Row],[TOTAL PAYMENT]]-PaymentSchedule434[[#This Row],[INTEREST]],"")</f>
        <v/>
      </c>
      <c r="I256" s="32" t="str">
        <f>IF(PaymentSchedule434[[#This Row],[PMT NO]]&lt;&gt;"",PaymentSchedule434[[#This Row],[BEGINNING BALANCE]]*(InterestRate/PaymentsPerYear),"")</f>
        <v/>
      </c>
      <c r="J25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56" s="32" t="str">
        <f>IF(PaymentSchedule434[[#This Row],[PMT NO]]&lt;&gt;"",SUM(INDEX(PaymentSchedule434[INTEREST],1,1):PaymentSchedule434[[#This Row],[INTEREST]]),"")</f>
        <v/>
      </c>
    </row>
    <row r="257" spans="2:11" x14ac:dyDescent="0.3">
      <c r="B257" s="30" t="str">
        <f>IF(LoanIsGood,IF(ROW()-ROW(PaymentSchedule434[[#Headers],[PMT NO]])&gt;ScheduledNumberOfPayments,"",ROW()-ROW(PaymentSchedule434[[#Headers],[PMT NO]])),"")</f>
        <v/>
      </c>
      <c r="C257" s="31" t="str">
        <f>IF(PaymentSchedule434[[#This Row],[PMT NO]]&lt;&gt;"",EOMONTH(LoanStartDate,ROW(PaymentSchedule434[[#This Row],[PMT NO]])-ROW(PaymentSchedule434[[#Headers],[PMT NO]])-2)+DAY(LoanStartDate),"")</f>
        <v/>
      </c>
      <c r="D25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57" s="32" t="str">
        <f>IF(PaymentSchedule434[[#This Row],[PMT NO]]&lt;&gt;"",ScheduledPayment,"")</f>
        <v/>
      </c>
      <c r="F25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5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57" s="32" t="str">
        <f>IF(PaymentSchedule434[[#This Row],[PMT NO]]&lt;&gt;"",PaymentSchedule434[[#This Row],[TOTAL PAYMENT]]-PaymentSchedule434[[#This Row],[INTEREST]],"")</f>
        <v/>
      </c>
      <c r="I257" s="32" t="str">
        <f>IF(PaymentSchedule434[[#This Row],[PMT NO]]&lt;&gt;"",PaymentSchedule434[[#This Row],[BEGINNING BALANCE]]*(InterestRate/PaymentsPerYear),"")</f>
        <v/>
      </c>
      <c r="J25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57" s="32" t="str">
        <f>IF(PaymentSchedule434[[#This Row],[PMT NO]]&lt;&gt;"",SUM(INDEX(PaymentSchedule434[INTEREST],1,1):PaymentSchedule434[[#This Row],[INTEREST]]),"")</f>
        <v/>
      </c>
    </row>
    <row r="258" spans="2:11" x14ac:dyDescent="0.3">
      <c r="B258" s="30" t="str">
        <f>IF(LoanIsGood,IF(ROW()-ROW(PaymentSchedule434[[#Headers],[PMT NO]])&gt;ScheduledNumberOfPayments,"",ROW()-ROW(PaymentSchedule434[[#Headers],[PMT NO]])),"")</f>
        <v/>
      </c>
      <c r="C258" s="31" t="str">
        <f>IF(PaymentSchedule434[[#This Row],[PMT NO]]&lt;&gt;"",EOMONTH(LoanStartDate,ROW(PaymentSchedule434[[#This Row],[PMT NO]])-ROW(PaymentSchedule434[[#Headers],[PMT NO]])-2)+DAY(LoanStartDate),"")</f>
        <v/>
      </c>
      <c r="D25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58" s="32" t="str">
        <f>IF(PaymentSchedule434[[#This Row],[PMT NO]]&lt;&gt;"",ScheduledPayment,"")</f>
        <v/>
      </c>
      <c r="F25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5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58" s="32" t="str">
        <f>IF(PaymentSchedule434[[#This Row],[PMT NO]]&lt;&gt;"",PaymentSchedule434[[#This Row],[TOTAL PAYMENT]]-PaymentSchedule434[[#This Row],[INTEREST]],"")</f>
        <v/>
      </c>
      <c r="I258" s="32" t="str">
        <f>IF(PaymentSchedule434[[#This Row],[PMT NO]]&lt;&gt;"",PaymentSchedule434[[#This Row],[BEGINNING BALANCE]]*(InterestRate/PaymentsPerYear),"")</f>
        <v/>
      </c>
      <c r="J25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58" s="32" t="str">
        <f>IF(PaymentSchedule434[[#This Row],[PMT NO]]&lt;&gt;"",SUM(INDEX(PaymentSchedule434[INTEREST],1,1):PaymentSchedule434[[#This Row],[INTEREST]]),"")</f>
        <v/>
      </c>
    </row>
    <row r="259" spans="2:11" x14ac:dyDescent="0.3">
      <c r="B259" s="30" t="str">
        <f>IF(LoanIsGood,IF(ROW()-ROW(PaymentSchedule434[[#Headers],[PMT NO]])&gt;ScheduledNumberOfPayments,"",ROW()-ROW(PaymentSchedule434[[#Headers],[PMT NO]])),"")</f>
        <v/>
      </c>
      <c r="C259" s="31" t="str">
        <f>IF(PaymentSchedule434[[#This Row],[PMT NO]]&lt;&gt;"",EOMONTH(LoanStartDate,ROW(PaymentSchedule434[[#This Row],[PMT NO]])-ROW(PaymentSchedule434[[#Headers],[PMT NO]])-2)+DAY(LoanStartDate),"")</f>
        <v/>
      </c>
      <c r="D25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59" s="32" t="str">
        <f>IF(PaymentSchedule434[[#This Row],[PMT NO]]&lt;&gt;"",ScheduledPayment,"")</f>
        <v/>
      </c>
      <c r="F25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5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59" s="32" t="str">
        <f>IF(PaymentSchedule434[[#This Row],[PMT NO]]&lt;&gt;"",PaymentSchedule434[[#This Row],[TOTAL PAYMENT]]-PaymentSchedule434[[#This Row],[INTEREST]],"")</f>
        <v/>
      </c>
      <c r="I259" s="32" t="str">
        <f>IF(PaymentSchedule434[[#This Row],[PMT NO]]&lt;&gt;"",PaymentSchedule434[[#This Row],[BEGINNING BALANCE]]*(InterestRate/PaymentsPerYear),"")</f>
        <v/>
      </c>
      <c r="J25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59" s="32" t="str">
        <f>IF(PaymentSchedule434[[#This Row],[PMT NO]]&lt;&gt;"",SUM(INDEX(PaymentSchedule434[INTEREST],1,1):PaymentSchedule434[[#This Row],[INTEREST]]),"")</f>
        <v/>
      </c>
    </row>
    <row r="260" spans="2:11" x14ac:dyDescent="0.3">
      <c r="B260" s="30" t="str">
        <f>IF(LoanIsGood,IF(ROW()-ROW(PaymentSchedule434[[#Headers],[PMT NO]])&gt;ScheduledNumberOfPayments,"",ROW()-ROW(PaymentSchedule434[[#Headers],[PMT NO]])),"")</f>
        <v/>
      </c>
      <c r="C260" s="31" t="str">
        <f>IF(PaymentSchedule434[[#This Row],[PMT NO]]&lt;&gt;"",EOMONTH(LoanStartDate,ROW(PaymentSchedule434[[#This Row],[PMT NO]])-ROW(PaymentSchedule434[[#Headers],[PMT NO]])-2)+DAY(LoanStartDate),"")</f>
        <v/>
      </c>
      <c r="D26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60" s="32" t="str">
        <f>IF(PaymentSchedule434[[#This Row],[PMT NO]]&lt;&gt;"",ScheduledPayment,"")</f>
        <v/>
      </c>
      <c r="F26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6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60" s="32" t="str">
        <f>IF(PaymentSchedule434[[#This Row],[PMT NO]]&lt;&gt;"",PaymentSchedule434[[#This Row],[TOTAL PAYMENT]]-PaymentSchedule434[[#This Row],[INTEREST]],"")</f>
        <v/>
      </c>
      <c r="I260" s="32" t="str">
        <f>IF(PaymentSchedule434[[#This Row],[PMT NO]]&lt;&gt;"",PaymentSchedule434[[#This Row],[BEGINNING BALANCE]]*(InterestRate/PaymentsPerYear),"")</f>
        <v/>
      </c>
      <c r="J26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60" s="32" t="str">
        <f>IF(PaymentSchedule434[[#This Row],[PMT NO]]&lt;&gt;"",SUM(INDEX(PaymentSchedule434[INTEREST],1,1):PaymentSchedule434[[#This Row],[INTEREST]]),"")</f>
        <v/>
      </c>
    </row>
    <row r="261" spans="2:11" x14ac:dyDescent="0.3">
      <c r="B261" s="30" t="str">
        <f>IF(LoanIsGood,IF(ROW()-ROW(PaymentSchedule434[[#Headers],[PMT NO]])&gt;ScheduledNumberOfPayments,"",ROW()-ROW(PaymentSchedule434[[#Headers],[PMT NO]])),"")</f>
        <v/>
      </c>
      <c r="C261" s="31" t="str">
        <f>IF(PaymentSchedule434[[#This Row],[PMT NO]]&lt;&gt;"",EOMONTH(LoanStartDate,ROW(PaymentSchedule434[[#This Row],[PMT NO]])-ROW(PaymentSchedule434[[#Headers],[PMT NO]])-2)+DAY(LoanStartDate),"")</f>
        <v/>
      </c>
      <c r="D26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61" s="32" t="str">
        <f>IF(PaymentSchedule434[[#This Row],[PMT NO]]&lt;&gt;"",ScheduledPayment,"")</f>
        <v/>
      </c>
      <c r="F26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6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61" s="32" t="str">
        <f>IF(PaymentSchedule434[[#This Row],[PMT NO]]&lt;&gt;"",PaymentSchedule434[[#This Row],[TOTAL PAYMENT]]-PaymentSchedule434[[#This Row],[INTEREST]],"")</f>
        <v/>
      </c>
      <c r="I261" s="32" t="str">
        <f>IF(PaymentSchedule434[[#This Row],[PMT NO]]&lt;&gt;"",PaymentSchedule434[[#This Row],[BEGINNING BALANCE]]*(InterestRate/PaymentsPerYear),"")</f>
        <v/>
      </c>
      <c r="J26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61" s="32" t="str">
        <f>IF(PaymentSchedule434[[#This Row],[PMT NO]]&lt;&gt;"",SUM(INDEX(PaymentSchedule434[INTEREST],1,1):PaymentSchedule434[[#This Row],[INTEREST]]),"")</f>
        <v/>
      </c>
    </row>
    <row r="262" spans="2:11" x14ac:dyDescent="0.3">
      <c r="B262" s="30" t="str">
        <f>IF(LoanIsGood,IF(ROW()-ROW(PaymentSchedule434[[#Headers],[PMT NO]])&gt;ScheduledNumberOfPayments,"",ROW()-ROW(PaymentSchedule434[[#Headers],[PMT NO]])),"")</f>
        <v/>
      </c>
      <c r="C262" s="31" t="str">
        <f>IF(PaymentSchedule434[[#This Row],[PMT NO]]&lt;&gt;"",EOMONTH(LoanStartDate,ROW(PaymentSchedule434[[#This Row],[PMT NO]])-ROW(PaymentSchedule434[[#Headers],[PMT NO]])-2)+DAY(LoanStartDate),"")</f>
        <v/>
      </c>
      <c r="D26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62" s="32" t="str">
        <f>IF(PaymentSchedule434[[#This Row],[PMT NO]]&lt;&gt;"",ScheduledPayment,"")</f>
        <v/>
      </c>
      <c r="F26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6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62" s="32" t="str">
        <f>IF(PaymentSchedule434[[#This Row],[PMT NO]]&lt;&gt;"",PaymentSchedule434[[#This Row],[TOTAL PAYMENT]]-PaymentSchedule434[[#This Row],[INTEREST]],"")</f>
        <v/>
      </c>
      <c r="I262" s="32" t="str">
        <f>IF(PaymentSchedule434[[#This Row],[PMT NO]]&lt;&gt;"",PaymentSchedule434[[#This Row],[BEGINNING BALANCE]]*(InterestRate/PaymentsPerYear),"")</f>
        <v/>
      </c>
      <c r="J26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62" s="32" t="str">
        <f>IF(PaymentSchedule434[[#This Row],[PMT NO]]&lt;&gt;"",SUM(INDEX(PaymentSchedule434[INTEREST],1,1):PaymentSchedule434[[#This Row],[INTEREST]]),"")</f>
        <v/>
      </c>
    </row>
    <row r="263" spans="2:11" x14ac:dyDescent="0.3">
      <c r="B263" s="30" t="str">
        <f>IF(LoanIsGood,IF(ROW()-ROW(PaymentSchedule434[[#Headers],[PMT NO]])&gt;ScheduledNumberOfPayments,"",ROW()-ROW(PaymentSchedule434[[#Headers],[PMT NO]])),"")</f>
        <v/>
      </c>
      <c r="C263" s="31" t="str">
        <f>IF(PaymentSchedule434[[#This Row],[PMT NO]]&lt;&gt;"",EOMONTH(LoanStartDate,ROW(PaymentSchedule434[[#This Row],[PMT NO]])-ROW(PaymentSchedule434[[#Headers],[PMT NO]])-2)+DAY(LoanStartDate),"")</f>
        <v/>
      </c>
      <c r="D26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63" s="32" t="str">
        <f>IF(PaymentSchedule434[[#This Row],[PMT NO]]&lt;&gt;"",ScheduledPayment,"")</f>
        <v/>
      </c>
      <c r="F26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6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63" s="32" t="str">
        <f>IF(PaymentSchedule434[[#This Row],[PMT NO]]&lt;&gt;"",PaymentSchedule434[[#This Row],[TOTAL PAYMENT]]-PaymentSchedule434[[#This Row],[INTEREST]],"")</f>
        <v/>
      </c>
      <c r="I263" s="32" t="str">
        <f>IF(PaymentSchedule434[[#This Row],[PMT NO]]&lt;&gt;"",PaymentSchedule434[[#This Row],[BEGINNING BALANCE]]*(InterestRate/PaymentsPerYear),"")</f>
        <v/>
      </c>
      <c r="J26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63" s="32" t="str">
        <f>IF(PaymentSchedule434[[#This Row],[PMT NO]]&lt;&gt;"",SUM(INDEX(PaymentSchedule434[INTEREST],1,1):PaymentSchedule434[[#This Row],[INTEREST]]),"")</f>
        <v/>
      </c>
    </row>
    <row r="264" spans="2:11" x14ac:dyDescent="0.3">
      <c r="B264" s="30" t="str">
        <f>IF(LoanIsGood,IF(ROW()-ROW(PaymentSchedule434[[#Headers],[PMT NO]])&gt;ScheduledNumberOfPayments,"",ROW()-ROW(PaymentSchedule434[[#Headers],[PMT NO]])),"")</f>
        <v/>
      </c>
      <c r="C264" s="31" t="str">
        <f>IF(PaymentSchedule434[[#This Row],[PMT NO]]&lt;&gt;"",EOMONTH(LoanStartDate,ROW(PaymentSchedule434[[#This Row],[PMT NO]])-ROW(PaymentSchedule434[[#Headers],[PMT NO]])-2)+DAY(LoanStartDate),"")</f>
        <v/>
      </c>
      <c r="D26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64" s="32" t="str">
        <f>IF(PaymentSchedule434[[#This Row],[PMT NO]]&lt;&gt;"",ScheduledPayment,"")</f>
        <v/>
      </c>
      <c r="F26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6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64" s="32" t="str">
        <f>IF(PaymentSchedule434[[#This Row],[PMT NO]]&lt;&gt;"",PaymentSchedule434[[#This Row],[TOTAL PAYMENT]]-PaymentSchedule434[[#This Row],[INTEREST]],"")</f>
        <v/>
      </c>
      <c r="I264" s="32" t="str">
        <f>IF(PaymentSchedule434[[#This Row],[PMT NO]]&lt;&gt;"",PaymentSchedule434[[#This Row],[BEGINNING BALANCE]]*(InterestRate/PaymentsPerYear),"")</f>
        <v/>
      </c>
      <c r="J26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64" s="32" t="str">
        <f>IF(PaymentSchedule434[[#This Row],[PMT NO]]&lt;&gt;"",SUM(INDEX(PaymentSchedule434[INTEREST],1,1):PaymentSchedule434[[#This Row],[INTEREST]]),"")</f>
        <v/>
      </c>
    </row>
    <row r="265" spans="2:11" x14ac:dyDescent="0.3">
      <c r="B265" s="30" t="str">
        <f>IF(LoanIsGood,IF(ROW()-ROW(PaymentSchedule434[[#Headers],[PMT NO]])&gt;ScheduledNumberOfPayments,"",ROW()-ROW(PaymentSchedule434[[#Headers],[PMT NO]])),"")</f>
        <v/>
      </c>
      <c r="C265" s="31" t="str">
        <f>IF(PaymentSchedule434[[#This Row],[PMT NO]]&lt;&gt;"",EOMONTH(LoanStartDate,ROW(PaymentSchedule434[[#This Row],[PMT NO]])-ROW(PaymentSchedule434[[#Headers],[PMT NO]])-2)+DAY(LoanStartDate),"")</f>
        <v/>
      </c>
      <c r="D26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65" s="32" t="str">
        <f>IF(PaymentSchedule434[[#This Row],[PMT NO]]&lt;&gt;"",ScheduledPayment,"")</f>
        <v/>
      </c>
      <c r="F26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6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65" s="32" t="str">
        <f>IF(PaymentSchedule434[[#This Row],[PMT NO]]&lt;&gt;"",PaymentSchedule434[[#This Row],[TOTAL PAYMENT]]-PaymentSchedule434[[#This Row],[INTEREST]],"")</f>
        <v/>
      </c>
      <c r="I265" s="32" t="str">
        <f>IF(PaymentSchedule434[[#This Row],[PMT NO]]&lt;&gt;"",PaymentSchedule434[[#This Row],[BEGINNING BALANCE]]*(InterestRate/PaymentsPerYear),"")</f>
        <v/>
      </c>
      <c r="J26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65" s="32" t="str">
        <f>IF(PaymentSchedule434[[#This Row],[PMT NO]]&lt;&gt;"",SUM(INDEX(PaymentSchedule434[INTEREST],1,1):PaymentSchedule434[[#This Row],[INTEREST]]),"")</f>
        <v/>
      </c>
    </row>
    <row r="266" spans="2:11" x14ac:dyDescent="0.3">
      <c r="B266" s="30" t="str">
        <f>IF(LoanIsGood,IF(ROW()-ROW(PaymentSchedule434[[#Headers],[PMT NO]])&gt;ScheduledNumberOfPayments,"",ROW()-ROW(PaymentSchedule434[[#Headers],[PMT NO]])),"")</f>
        <v/>
      </c>
      <c r="C266" s="31" t="str">
        <f>IF(PaymentSchedule434[[#This Row],[PMT NO]]&lt;&gt;"",EOMONTH(LoanStartDate,ROW(PaymentSchedule434[[#This Row],[PMT NO]])-ROW(PaymentSchedule434[[#Headers],[PMT NO]])-2)+DAY(LoanStartDate),"")</f>
        <v/>
      </c>
      <c r="D26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66" s="32" t="str">
        <f>IF(PaymentSchedule434[[#This Row],[PMT NO]]&lt;&gt;"",ScheduledPayment,"")</f>
        <v/>
      </c>
      <c r="F26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6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66" s="32" t="str">
        <f>IF(PaymentSchedule434[[#This Row],[PMT NO]]&lt;&gt;"",PaymentSchedule434[[#This Row],[TOTAL PAYMENT]]-PaymentSchedule434[[#This Row],[INTEREST]],"")</f>
        <v/>
      </c>
      <c r="I266" s="32" t="str">
        <f>IF(PaymentSchedule434[[#This Row],[PMT NO]]&lt;&gt;"",PaymentSchedule434[[#This Row],[BEGINNING BALANCE]]*(InterestRate/PaymentsPerYear),"")</f>
        <v/>
      </c>
      <c r="J26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66" s="32" t="str">
        <f>IF(PaymentSchedule434[[#This Row],[PMT NO]]&lt;&gt;"",SUM(INDEX(PaymentSchedule434[INTEREST],1,1):PaymentSchedule434[[#This Row],[INTEREST]]),"")</f>
        <v/>
      </c>
    </row>
    <row r="267" spans="2:11" x14ac:dyDescent="0.3">
      <c r="B267" s="30" t="str">
        <f>IF(LoanIsGood,IF(ROW()-ROW(PaymentSchedule434[[#Headers],[PMT NO]])&gt;ScheduledNumberOfPayments,"",ROW()-ROW(PaymentSchedule434[[#Headers],[PMT NO]])),"")</f>
        <v/>
      </c>
      <c r="C267" s="31" t="str">
        <f>IF(PaymentSchedule434[[#This Row],[PMT NO]]&lt;&gt;"",EOMONTH(LoanStartDate,ROW(PaymentSchedule434[[#This Row],[PMT NO]])-ROW(PaymentSchedule434[[#Headers],[PMT NO]])-2)+DAY(LoanStartDate),"")</f>
        <v/>
      </c>
      <c r="D26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67" s="32" t="str">
        <f>IF(PaymentSchedule434[[#This Row],[PMT NO]]&lt;&gt;"",ScheduledPayment,"")</f>
        <v/>
      </c>
      <c r="F26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6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67" s="32" t="str">
        <f>IF(PaymentSchedule434[[#This Row],[PMT NO]]&lt;&gt;"",PaymentSchedule434[[#This Row],[TOTAL PAYMENT]]-PaymentSchedule434[[#This Row],[INTEREST]],"")</f>
        <v/>
      </c>
      <c r="I267" s="32" t="str">
        <f>IF(PaymentSchedule434[[#This Row],[PMT NO]]&lt;&gt;"",PaymentSchedule434[[#This Row],[BEGINNING BALANCE]]*(InterestRate/PaymentsPerYear),"")</f>
        <v/>
      </c>
      <c r="J26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67" s="32" t="str">
        <f>IF(PaymentSchedule434[[#This Row],[PMT NO]]&lt;&gt;"",SUM(INDEX(PaymentSchedule434[INTEREST],1,1):PaymentSchedule434[[#This Row],[INTEREST]]),"")</f>
        <v/>
      </c>
    </row>
    <row r="268" spans="2:11" x14ac:dyDescent="0.3">
      <c r="B268" s="30" t="str">
        <f>IF(LoanIsGood,IF(ROW()-ROW(PaymentSchedule434[[#Headers],[PMT NO]])&gt;ScheduledNumberOfPayments,"",ROW()-ROW(PaymentSchedule434[[#Headers],[PMT NO]])),"")</f>
        <v/>
      </c>
      <c r="C268" s="31" t="str">
        <f>IF(PaymentSchedule434[[#This Row],[PMT NO]]&lt;&gt;"",EOMONTH(LoanStartDate,ROW(PaymentSchedule434[[#This Row],[PMT NO]])-ROW(PaymentSchedule434[[#Headers],[PMT NO]])-2)+DAY(LoanStartDate),"")</f>
        <v/>
      </c>
      <c r="D26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68" s="32" t="str">
        <f>IF(PaymentSchedule434[[#This Row],[PMT NO]]&lt;&gt;"",ScheduledPayment,"")</f>
        <v/>
      </c>
      <c r="F26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6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68" s="32" t="str">
        <f>IF(PaymentSchedule434[[#This Row],[PMT NO]]&lt;&gt;"",PaymentSchedule434[[#This Row],[TOTAL PAYMENT]]-PaymentSchedule434[[#This Row],[INTEREST]],"")</f>
        <v/>
      </c>
      <c r="I268" s="32" t="str">
        <f>IF(PaymentSchedule434[[#This Row],[PMT NO]]&lt;&gt;"",PaymentSchedule434[[#This Row],[BEGINNING BALANCE]]*(InterestRate/PaymentsPerYear),"")</f>
        <v/>
      </c>
      <c r="J26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68" s="32" t="str">
        <f>IF(PaymentSchedule434[[#This Row],[PMT NO]]&lt;&gt;"",SUM(INDEX(PaymentSchedule434[INTEREST],1,1):PaymentSchedule434[[#This Row],[INTEREST]]),"")</f>
        <v/>
      </c>
    </row>
    <row r="269" spans="2:11" x14ac:dyDescent="0.3">
      <c r="B269" s="30" t="str">
        <f>IF(LoanIsGood,IF(ROW()-ROW(PaymentSchedule434[[#Headers],[PMT NO]])&gt;ScheduledNumberOfPayments,"",ROW()-ROW(PaymentSchedule434[[#Headers],[PMT NO]])),"")</f>
        <v/>
      </c>
      <c r="C269" s="31" t="str">
        <f>IF(PaymentSchedule434[[#This Row],[PMT NO]]&lt;&gt;"",EOMONTH(LoanStartDate,ROW(PaymentSchedule434[[#This Row],[PMT NO]])-ROW(PaymentSchedule434[[#Headers],[PMT NO]])-2)+DAY(LoanStartDate),"")</f>
        <v/>
      </c>
      <c r="D26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69" s="32" t="str">
        <f>IF(PaymentSchedule434[[#This Row],[PMT NO]]&lt;&gt;"",ScheduledPayment,"")</f>
        <v/>
      </c>
      <c r="F26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6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69" s="32" t="str">
        <f>IF(PaymentSchedule434[[#This Row],[PMT NO]]&lt;&gt;"",PaymentSchedule434[[#This Row],[TOTAL PAYMENT]]-PaymentSchedule434[[#This Row],[INTEREST]],"")</f>
        <v/>
      </c>
      <c r="I269" s="32" t="str">
        <f>IF(PaymentSchedule434[[#This Row],[PMT NO]]&lt;&gt;"",PaymentSchedule434[[#This Row],[BEGINNING BALANCE]]*(InterestRate/PaymentsPerYear),"")</f>
        <v/>
      </c>
      <c r="J26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69" s="32" t="str">
        <f>IF(PaymentSchedule434[[#This Row],[PMT NO]]&lt;&gt;"",SUM(INDEX(PaymentSchedule434[INTEREST],1,1):PaymentSchedule434[[#This Row],[INTEREST]]),"")</f>
        <v/>
      </c>
    </row>
    <row r="270" spans="2:11" x14ac:dyDescent="0.3">
      <c r="B270" s="30" t="str">
        <f>IF(LoanIsGood,IF(ROW()-ROW(PaymentSchedule434[[#Headers],[PMT NO]])&gt;ScheduledNumberOfPayments,"",ROW()-ROW(PaymentSchedule434[[#Headers],[PMT NO]])),"")</f>
        <v/>
      </c>
      <c r="C270" s="31" t="str">
        <f>IF(PaymentSchedule434[[#This Row],[PMT NO]]&lt;&gt;"",EOMONTH(LoanStartDate,ROW(PaymentSchedule434[[#This Row],[PMT NO]])-ROW(PaymentSchedule434[[#Headers],[PMT NO]])-2)+DAY(LoanStartDate),"")</f>
        <v/>
      </c>
      <c r="D27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70" s="32" t="str">
        <f>IF(PaymentSchedule434[[#This Row],[PMT NO]]&lt;&gt;"",ScheduledPayment,"")</f>
        <v/>
      </c>
      <c r="F27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7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70" s="32" t="str">
        <f>IF(PaymentSchedule434[[#This Row],[PMT NO]]&lt;&gt;"",PaymentSchedule434[[#This Row],[TOTAL PAYMENT]]-PaymentSchedule434[[#This Row],[INTEREST]],"")</f>
        <v/>
      </c>
      <c r="I270" s="32" t="str">
        <f>IF(PaymentSchedule434[[#This Row],[PMT NO]]&lt;&gt;"",PaymentSchedule434[[#This Row],[BEGINNING BALANCE]]*(InterestRate/PaymentsPerYear),"")</f>
        <v/>
      </c>
      <c r="J27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70" s="32" t="str">
        <f>IF(PaymentSchedule434[[#This Row],[PMT NO]]&lt;&gt;"",SUM(INDEX(PaymentSchedule434[INTEREST],1,1):PaymentSchedule434[[#This Row],[INTEREST]]),"")</f>
        <v/>
      </c>
    </row>
    <row r="271" spans="2:11" x14ac:dyDescent="0.3">
      <c r="B271" s="30" t="str">
        <f>IF(LoanIsGood,IF(ROW()-ROW(PaymentSchedule434[[#Headers],[PMT NO]])&gt;ScheduledNumberOfPayments,"",ROW()-ROW(PaymentSchedule434[[#Headers],[PMT NO]])),"")</f>
        <v/>
      </c>
      <c r="C271" s="31" t="str">
        <f>IF(PaymentSchedule434[[#This Row],[PMT NO]]&lt;&gt;"",EOMONTH(LoanStartDate,ROW(PaymentSchedule434[[#This Row],[PMT NO]])-ROW(PaymentSchedule434[[#Headers],[PMT NO]])-2)+DAY(LoanStartDate),"")</f>
        <v/>
      </c>
      <c r="D27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71" s="32" t="str">
        <f>IF(PaymentSchedule434[[#This Row],[PMT NO]]&lt;&gt;"",ScheduledPayment,"")</f>
        <v/>
      </c>
      <c r="F27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7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71" s="32" t="str">
        <f>IF(PaymentSchedule434[[#This Row],[PMT NO]]&lt;&gt;"",PaymentSchedule434[[#This Row],[TOTAL PAYMENT]]-PaymentSchedule434[[#This Row],[INTEREST]],"")</f>
        <v/>
      </c>
      <c r="I271" s="32" t="str">
        <f>IF(PaymentSchedule434[[#This Row],[PMT NO]]&lt;&gt;"",PaymentSchedule434[[#This Row],[BEGINNING BALANCE]]*(InterestRate/PaymentsPerYear),"")</f>
        <v/>
      </c>
      <c r="J27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71" s="32" t="str">
        <f>IF(PaymentSchedule434[[#This Row],[PMT NO]]&lt;&gt;"",SUM(INDEX(PaymentSchedule434[INTEREST],1,1):PaymentSchedule434[[#This Row],[INTEREST]]),"")</f>
        <v/>
      </c>
    </row>
    <row r="272" spans="2:11" x14ac:dyDescent="0.3">
      <c r="B272" s="30" t="str">
        <f>IF(LoanIsGood,IF(ROW()-ROW(PaymentSchedule434[[#Headers],[PMT NO]])&gt;ScheduledNumberOfPayments,"",ROW()-ROW(PaymentSchedule434[[#Headers],[PMT NO]])),"")</f>
        <v/>
      </c>
      <c r="C272" s="31" t="str">
        <f>IF(PaymentSchedule434[[#This Row],[PMT NO]]&lt;&gt;"",EOMONTH(LoanStartDate,ROW(PaymentSchedule434[[#This Row],[PMT NO]])-ROW(PaymentSchedule434[[#Headers],[PMT NO]])-2)+DAY(LoanStartDate),"")</f>
        <v/>
      </c>
      <c r="D27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72" s="32" t="str">
        <f>IF(PaymentSchedule434[[#This Row],[PMT NO]]&lt;&gt;"",ScheduledPayment,"")</f>
        <v/>
      </c>
      <c r="F27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7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72" s="32" t="str">
        <f>IF(PaymentSchedule434[[#This Row],[PMT NO]]&lt;&gt;"",PaymentSchedule434[[#This Row],[TOTAL PAYMENT]]-PaymentSchedule434[[#This Row],[INTEREST]],"")</f>
        <v/>
      </c>
      <c r="I272" s="32" t="str">
        <f>IF(PaymentSchedule434[[#This Row],[PMT NO]]&lt;&gt;"",PaymentSchedule434[[#This Row],[BEGINNING BALANCE]]*(InterestRate/PaymentsPerYear),"")</f>
        <v/>
      </c>
      <c r="J27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72" s="32" t="str">
        <f>IF(PaymentSchedule434[[#This Row],[PMT NO]]&lt;&gt;"",SUM(INDEX(PaymentSchedule434[INTEREST],1,1):PaymentSchedule434[[#This Row],[INTEREST]]),"")</f>
        <v/>
      </c>
    </row>
    <row r="273" spans="2:11" x14ac:dyDescent="0.3">
      <c r="B273" s="30" t="str">
        <f>IF(LoanIsGood,IF(ROW()-ROW(PaymentSchedule434[[#Headers],[PMT NO]])&gt;ScheduledNumberOfPayments,"",ROW()-ROW(PaymentSchedule434[[#Headers],[PMT NO]])),"")</f>
        <v/>
      </c>
      <c r="C273" s="31" t="str">
        <f>IF(PaymentSchedule434[[#This Row],[PMT NO]]&lt;&gt;"",EOMONTH(LoanStartDate,ROW(PaymentSchedule434[[#This Row],[PMT NO]])-ROW(PaymentSchedule434[[#Headers],[PMT NO]])-2)+DAY(LoanStartDate),"")</f>
        <v/>
      </c>
      <c r="D27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73" s="32" t="str">
        <f>IF(PaymentSchedule434[[#This Row],[PMT NO]]&lt;&gt;"",ScheduledPayment,"")</f>
        <v/>
      </c>
      <c r="F27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7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73" s="32" t="str">
        <f>IF(PaymentSchedule434[[#This Row],[PMT NO]]&lt;&gt;"",PaymentSchedule434[[#This Row],[TOTAL PAYMENT]]-PaymentSchedule434[[#This Row],[INTEREST]],"")</f>
        <v/>
      </c>
      <c r="I273" s="32" t="str">
        <f>IF(PaymentSchedule434[[#This Row],[PMT NO]]&lt;&gt;"",PaymentSchedule434[[#This Row],[BEGINNING BALANCE]]*(InterestRate/PaymentsPerYear),"")</f>
        <v/>
      </c>
      <c r="J27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73" s="32" t="str">
        <f>IF(PaymentSchedule434[[#This Row],[PMT NO]]&lt;&gt;"",SUM(INDEX(PaymentSchedule434[INTEREST],1,1):PaymentSchedule434[[#This Row],[INTEREST]]),"")</f>
        <v/>
      </c>
    </row>
    <row r="274" spans="2:11" x14ac:dyDescent="0.3">
      <c r="B274" s="30" t="str">
        <f>IF(LoanIsGood,IF(ROW()-ROW(PaymentSchedule434[[#Headers],[PMT NO]])&gt;ScheduledNumberOfPayments,"",ROW()-ROW(PaymentSchedule434[[#Headers],[PMT NO]])),"")</f>
        <v/>
      </c>
      <c r="C274" s="31" t="str">
        <f>IF(PaymentSchedule434[[#This Row],[PMT NO]]&lt;&gt;"",EOMONTH(LoanStartDate,ROW(PaymentSchedule434[[#This Row],[PMT NO]])-ROW(PaymentSchedule434[[#Headers],[PMT NO]])-2)+DAY(LoanStartDate),"")</f>
        <v/>
      </c>
      <c r="D27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74" s="32" t="str">
        <f>IF(PaymentSchedule434[[#This Row],[PMT NO]]&lt;&gt;"",ScheduledPayment,"")</f>
        <v/>
      </c>
      <c r="F27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7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74" s="32" t="str">
        <f>IF(PaymentSchedule434[[#This Row],[PMT NO]]&lt;&gt;"",PaymentSchedule434[[#This Row],[TOTAL PAYMENT]]-PaymentSchedule434[[#This Row],[INTEREST]],"")</f>
        <v/>
      </c>
      <c r="I274" s="32" t="str">
        <f>IF(PaymentSchedule434[[#This Row],[PMT NO]]&lt;&gt;"",PaymentSchedule434[[#This Row],[BEGINNING BALANCE]]*(InterestRate/PaymentsPerYear),"")</f>
        <v/>
      </c>
      <c r="J27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74" s="32" t="str">
        <f>IF(PaymentSchedule434[[#This Row],[PMT NO]]&lt;&gt;"",SUM(INDEX(PaymentSchedule434[INTEREST],1,1):PaymentSchedule434[[#This Row],[INTEREST]]),"")</f>
        <v/>
      </c>
    </row>
    <row r="275" spans="2:11" x14ac:dyDescent="0.3">
      <c r="B275" s="30" t="str">
        <f>IF(LoanIsGood,IF(ROW()-ROW(PaymentSchedule434[[#Headers],[PMT NO]])&gt;ScheduledNumberOfPayments,"",ROW()-ROW(PaymentSchedule434[[#Headers],[PMT NO]])),"")</f>
        <v/>
      </c>
      <c r="C275" s="31" t="str">
        <f>IF(PaymentSchedule434[[#This Row],[PMT NO]]&lt;&gt;"",EOMONTH(LoanStartDate,ROW(PaymentSchedule434[[#This Row],[PMT NO]])-ROW(PaymentSchedule434[[#Headers],[PMT NO]])-2)+DAY(LoanStartDate),"")</f>
        <v/>
      </c>
      <c r="D27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75" s="32" t="str">
        <f>IF(PaymentSchedule434[[#This Row],[PMT NO]]&lt;&gt;"",ScheduledPayment,"")</f>
        <v/>
      </c>
      <c r="F27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7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75" s="32" t="str">
        <f>IF(PaymentSchedule434[[#This Row],[PMT NO]]&lt;&gt;"",PaymentSchedule434[[#This Row],[TOTAL PAYMENT]]-PaymentSchedule434[[#This Row],[INTEREST]],"")</f>
        <v/>
      </c>
      <c r="I275" s="32" t="str">
        <f>IF(PaymentSchedule434[[#This Row],[PMT NO]]&lt;&gt;"",PaymentSchedule434[[#This Row],[BEGINNING BALANCE]]*(InterestRate/PaymentsPerYear),"")</f>
        <v/>
      </c>
      <c r="J27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75" s="32" t="str">
        <f>IF(PaymentSchedule434[[#This Row],[PMT NO]]&lt;&gt;"",SUM(INDEX(PaymentSchedule434[INTEREST],1,1):PaymentSchedule434[[#This Row],[INTEREST]]),"")</f>
        <v/>
      </c>
    </row>
    <row r="276" spans="2:11" x14ac:dyDescent="0.3">
      <c r="B276" s="30" t="str">
        <f>IF(LoanIsGood,IF(ROW()-ROW(PaymentSchedule434[[#Headers],[PMT NO]])&gt;ScheduledNumberOfPayments,"",ROW()-ROW(PaymentSchedule434[[#Headers],[PMT NO]])),"")</f>
        <v/>
      </c>
      <c r="C276" s="31" t="str">
        <f>IF(PaymentSchedule434[[#This Row],[PMT NO]]&lt;&gt;"",EOMONTH(LoanStartDate,ROW(PaymentSchedule434[[#This Row],[PMT NO]])-ROW(PaymentSchedule434[[#Headers],[PMT NO]])-2)+DAY(LoanStartDate),"")</f>
        <v/>
      </c>
      <c r="D27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76" s="32" t="str">
        <f>IF(PaymentSchedule434[[#This Row],[PMT NO]]&lt;&gt;"",ScheduledPayment,"")</f>
        <v/>
      </c>
      <c r="F27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7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76" s="32" t="str">
        <f>IF(PaymentSchedule434[[#This Row],[PMT NO]]&lt;&gt;"",PaymentSchedule434[[#This Row],[TOTAL PAYMENT]]-PaymentSchedule434[[#This Row],[INTEREST]],"")</f>
        <v/>
      </c>
      <c r="I276" s="32" t="str">
        <f>IF(PaymentSchedule434[[#This Row],[PMT NO]]&lt;&gt;"",PaymentSchedule434[[#This Row],[BEGINNING BALANCE]]*(InterestRate/PaymentsPerYear),"")</f>
        <v/>
      </c>
      <c r="J27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76" s="32" t="str">
        <f>IF(PaymentSchedule434[[#This Row],[PMT NO]]&lt;&gt;"",SUM(INDEX(PaymentSchedule434[INTEREST],1,1):PaymentSchedule434[[#This Row],[INTEREST]]),"")</f>
        <v/>
      </c>
    </row>
    <row r="277" spans="2:11" x14ac:dyDescent="0.3">
      <c r="B277" s="30" t="str">
        <f>IF(LoanIsGood,IF(ROW()-ROW(PaymentSchedule434[[#Headers],[PMT NO]])&gt;ScheduledNumberOfPayments,"",ROW()-ROW(PaymentSchedule434[[#Headers],[PMT NO]])),"")</f>
        <v/>
      </c>
      <c r="C277" s="31" t="str">
        <f>IF(PaymentSchedule434[[#This Row],[PMT NO]]&lt;&gt;"",EOMONTH(LoanStartDate,ROW(PaymentSchedule434[[#This Row],[PMT NO]])-ROW(PaymentSchedule434[[#Headers],[PMT NO]])-2)+DAY(LoanStartDate),"")</f>
        <v/>
      </c>
      <c r="D27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77" s="32" t="str">
        <f>IF(PaymentSchedule434[[#This Row],[PMT NO]]&lt;&gt;"",ScheduledPayment,"")</f>
        <v/>
      </c>
      <c r="F27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7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77" s="32" t="str">
        <f>IF(PaymentSchedule434[[#This Row],[PMT NO]]&lt;&gt;"",PaymentSchedule434[[#This Row],[TOTAL PAYMENT]]-PaymentSchedule434[[#This Row],[INTEREST]],"")</f>
        <v/>
      </c>
      <c r="I277" s="32" t="str">
        <f>IF(PaymentSchedule434[[#This Row],[PMT NO]]&lt;&gt;"",PaymentSchedule434[[#This Row],[BEGINNING BALANCE]]*(InterestRate/PaymentsPerYear),"")</f>
        <v/>
      </c>
      <c r="J27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77" s="32" t="str">
        <f>IF(PaymentSchedule434[[#This Row],[PMT NO]]&lt;&gt;"",SUM(INDEX(PaymentSchedule434[INTEREST],1,1):PaymentSchedule434[[#This Row],[INTEREST]]),"")</f>
        <v/>
      </c>
    </row>
    <row r="278" spans="2:11" x14ac:dyDescent="0.3">
      <c r="B278" s="30" t="str">
        <f>IF(LoanIsGood,IF(ROW()-ROW(PaymentSchedule434[[#Headers],[PMT NO]])&gt;ScheduledNumberOfPayments,"",ROW()-ROW(PaymentSchedule434[[#Headers],[PMT NO]])),"")</f>
        <v/>
      </c>
      <c r="C278" s="31" t="str">
        <f>IF(PaymentSchedule434[[#This Row],[PMT NO]]&lt;&gt;"",EOMONTH(LoanStartDate,ROW(PaymentSchedule434[[#This Row],[PMT NO]])-ROW(PaymentSchedule434[[#Headers],[PMT NO]])-2)+DAY(LoanStartDate),"")</f>
        <v/>
      </c>
      <c r="D27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78" s="32" t="str">
        <f>IF(PaymentSchedule434[[#This Row],[PMT NO]]&lt;&gt;"",ScheduledPayment,"")</f>
        <v/>
      </c>
      <c r="F27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7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78" s="32" t="str">
        <f>IF(PaymentSchedule434[[#This Row],[PMT NO]]&lt;&gt;"",PaymentSchedule434[[#This Row],[TOTAL PAYMENT]]-PaymentSchedule434[[#This Row],[INTEREST]],"")</f>
        <v/>
      </c>
      <c r="I278" s="32" t="str">
        <f>IF(PaymentSchedule434[[#This Row],[PMT NO]]&lt;&gt;"",PaymentSchedule434[[#This Row],[BEGINNING BALANCE]]*(InterestRate/PaymentsPerYear),"")</f>
        <v/>
      </c>
      <c r="J27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78" s="32" t="str">
        <f>IF(PaymentSchedule434[[#This Row],[PMT NO]]&lt;&gt;"",SUM(INDEX(PaymentSchedule434[INTEREST],1,1):PaymentSchedule434[[#This Row],[INTEREST]]),"")</f>
        <v/>
      </c>
    </row>
    <row r="279" spans="2:11" x14ac:dyDescent="0.3">
      <c r="B279" s="30" t="str">
        <f>IF(LoanIsGood,IF(ROW()-ROW(PaymentSchedule434[[#Headers],[PMT NO]])&gt;ScheduledNumberOfPayments,"",ROW()-ROW(PaymentSchedule434[[#Headers],[PMT NO]])),"")</f>
        <v/>
      </c>
      <c r="C279" s="31" t="str">
        <f>IF(PaymentSchedule434[[#This Row],[PMT NO]]&lt;&gt;"",EOMONTH(LoanStartDate,ROW(PaymentSchedule434[[#This Row],[PMT NO]])-ROW(PaymentSchedule434[[#Headers],[PMT NO]])-2)+DAY(LoanStartDate),"")</f>
        <v/>
      </c>
      <c r="D27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79" s="32" t="str">
        <f>IF(PaymentSchedule434[[#This Row],[PMT NO]]&lt;&gt;"",ScheduledPayment,"")</f>
        <v/>
      </c>
      <c r="F27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7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79" s="32" t="str">
        <f>IF(PaymentSchedule434[[#This Row],[PMT NO]]&lt;&gt;"",PaymentSchedule434[[#This Row],[TOTAL PAYMENT]]-PaymentSchedule434[[#This Row],[INTEREST]],"")</f>
        <v/>
      </c>
      <c r="I279" s="32" t="str">
        <f>IF(PaymentSchedule434[[#This Row],[PMT NO]]&lt;&gt;"",PaymentSchedule434[[#This Row],[BEGINNING BALANCE]]*(InterestRate/PaymentsPerYear),"")</f>
        <v/>
      </c>
      <c r="J27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79" s="32" t="str">
        <f>IF(PaymentSchedule434[[#This Row],[PMT NO]]&lt;&gt;"",SUM(INDEX(PaymentSchedule434[INTEREST],1,1):PaymentSchedule434[[#This Row],[INTEREST]]),"")</f>
        <v/>
      </c>
    </row>
    <row r="280" spans="2:11" x14ac:dyDescent="0.3">
      <c r="B280" s="30" t="str">
        <f>IF(LoanIsGood,IF(ROW()-ROW(PaymentSchedule434[[#Headers],[PMT NO]])&gt;ScheduledNumberOfPayments,"",ROW()-ROW(PaymentSchedule434[[#Headers],[PMT NO]])),"")</f>
        <v/>
      </c>
      <c r="C280" s="31" t="str">
        <f>IF(PaymentSchedule434[[#This Row],[PMT NO]]&lt;&gt;"",EOMONTH(LoanStartDate,ROW(PaymentSchedule434[[#This Row],[PMT NO]])-ROW(PaymentSchedule434[[#Headers],[PMT NO]])-2)+DAY(LoanStartDate),"")</f>
        <v/>
      </c>
      <c r="D28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80" s="32" t="str">
        <f>IF(PaymentSchedule434[[#This Row],[PMT NO]]&lt;&gt;"",ScheduledPayment,"")</f>
        <v/>
      </c>
      <c r="F28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8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80" s="32" t="str">
        <f>IF(PaymentSchedule434[[#This Row],[PMT NO]]&lt;&gt;"",PaymentSchedule434[[#This Row],[TOTAL PAYMENT]]-PaymentSchedule434[[#This Row],[INTEREST]],"")</f>
        <v/>
      </c>
      <c r="I280" s="32" t="str">
        <f>IF(PaymentSchedule434[[#This Row],[PMT NO]]&lt;&gt;"",PaymentSchedule434[[#This Row],[BEGINNING BALANCE]]*(InterestRate/PaymentsPerYear),"")</f>
        <v/>
      </c>
      <c r="J28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80" s="32" t="str">
        <f>IF(PaymentSchedule434[[#This Row],[PMT NO]]&lt;&gt;"",SUM(INDEX(PaymentSchedule434[INTEREST],1,1):PaymentSchedule434[[#This Row],[INTEREST]]),"")</f>
        <v/>
      </c>
    </row>
    <row r="281" spans="2:11" x14ac:dyDescent="0.3">
      <c r="B281" s="30" t="str">
        <f>IF(LoanIsGood,IF(ROW()-ROW(PaymentSchedule434[[#Headers],[PMT NO]])&gt;ScheduledNumberOfPayments,"",ROW()-ROW(PaymentSchedule434[[#Headers],[PMT NO]])),"")</f>
        <v/>
      </c>
      <c r="C281" s="31" t="str">
        <f>IF(PaymentSchedule434[[#This Row],[PMT NO]]&lt;&gt;"",EOMONTH(LoanStartDate,ROW(PaymentSchedule434[[#This Row],[PMT NO]])-ROW(PaymentSchedule434[[#Headers],[PMT NO]])-2)+DAY(LoanStartDate),"")</f>
        <v/>
      </c>
      <c r="D28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81" s="32" t="str">
        <f>IF(PaymentSchedule434[[#This Row],[PMT NO]]&lt;&gt;"",ScheduledPayment,"")</f>
        <v/>
      </c>
      <c r="F28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8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81" s="32" t="str">
        <f>IF(PaymentSchedule434[[#This Row],[PMT NO]]&lt;&gt;"",PaymentSchedule434[[#This Row],[TOTAL PAYMENT]]-PaymentSchedule434[[#This Row],[INTEREST]],"")</f>
        <v/>
      </c>
      <c r="I281" s="32" t="str">
        <f>IF(PaymentSchedule434[[#This Row],[PMT NO]]&lt;&gt;"",PaymentSchedule434[[#This Row],[BEGINNING BALANCE]]*(InterestRate/PaymentsPerYear),"")</f>
        <v/>
      </c>
      <c r="J28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81" s="32" t="str">
        <f>IF(PaymentSchedule434[[#This Row],[PMT NO]]&lt;&gt;"",SUM(INDEX(PaymentSchedule434[INTEREST],1,1):PaymentSchedule434[[#This Row],[INTEREST]]),"")</f>
        <v/>
      </c>
    </row>
    <row r="282" spans="2:11" x14ac:dyDescent="0.3">
      <c r="B282" s="30" t="str">
        <f>IF(LoanIsGood,IF(ROW()-ROW(PaymentSchedule434[[#Headers],[PMT NO]])&gt;ScheduledNumberOfPayments,"",ROW()-ROW(PaymentSchedule434[[#Headers],[PMT NO]])),"")</f>
        <v/>
      </c>
      <c r="C282" s="31" t="str">
        <f>IF(PaymentSchedule434[[#This Row],[PMT NO]]&lt;&gt;"",EOMONTH(LoanStartDate,ROW(PaymentSchedule434[[#This Row],[PMT NO]])-ROW(PaymentSchedule434[[#Headers],[PMT NO]])-2)+DAY(LoanStartDate),"")</f>
        <v/>
      </c>
      <c r="D28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82" s="32" t="str">
        <f>IF(PaymentSchedule434[[#This Row],[PMT NO]]&lt;&gt;"",ScheduledPayment,"")</f>
        <v/>
      </c>
      <c r="F28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8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82" s="32" t="str">
        <f>IF(PaymentSchedule434[[#This Row],[PMT NO]]&lt;&gt;"",PaymentSchedule434[[#This Row],[TOTAL PAYMENT]]-PaymentSchedule434[[#This Row],[INTEREST]],"")</f>
        <v/>
      </c>
      <c r="I282" s="32" t="str">
        <f>IF(PaymentSchedule434[[#This Row],[PMT NO]]&lt;&gt;"",PaymentSchedule434[[#This Row],[BEGINNING BALANCE]]*(InterestRate/PaymentsPerYear),"")</f>
        <v/>
      </c>
      <c r="J28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82" s="32" t="str">
        <f>IF(PaymentSchedule434[[#This Row],[PMT NO]]&lt;&gt;"",SUM(INDEX(PaymentSchedule434[INTEREST],1,1):PaymentSchedule434[[#This Row],[INTEREST]]),"")</f>
        <v/>
      </c>
    </row>
    <row r="283" spans="2:11" x14ac:dyDescent="0.3">
      <c r="B283" s="30" t="str">
        <f>IF(LoanIsGood,IF(ROW()-ROW(PaymentSchedule434[[#Headers],[PMT NO]])&gt;ScheduledNumberOfPayments,"",ROW()-ROW(PaymentSchedule434[[#Headers],[PMT NO]])),"")</f>
        <v/>
      </c>
      <c r="C283" s="31" t="str">
        <f>IF(PaymentSchedule434[[#This Row],[PMT NO]]&lt;&gt;"",EOMONTH(LoanStartDate,ROW(PaymentSchedule434[[#This Row],[PMT NO]])-ROW(PaymentSchedule434[[#Headers],[PMT NO]])-2)+DAY(LoanStartDate),"")</f>
        <v/>
      </c>
      <c r="D28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83" s="32" t="str">
        <f>IF(PaymentSchedule434[[#This Row],[PMT NO]]&lt;&gt;"",ScheduledPayment,"")</f>
        <v/>
      </c>
      <c r="F28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8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83" s="32" t="str">
        <f>IF(PaymentSchedule434[[#This Row],[PMT NO]]&lt;&gt;"",PaymentSchedule434[[#This Row],[TOTAL PAYMENT]]-PaymentSchedule434[[#This Row],[INTEREST]],"")</f>
        <v/>
      </c>
      <c r="I283" s="32" t="str">
        <f>IF(PaymentSchedule434[[#This Row],[PMT NO]]&lt;&gt;"",PaymentSchedule434[[#This Row],[BEGINNING BALANCE]]*(InterestRate/PaymentsPerYear),"")</f>
        <v/>
      </c>
      <c r="J28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83" s="32" t="str">
        <f>IF(PaymentSchedule434[[#This Row],[PMT NO]]&lt;&gt;"",SUM(INDEX(PaymentSchedule434[INTEREST],1,1):PaymentSchedule434[[#This Row],[INTEREST]]),"")</f>
        <v/>
      </c>
    </row>
    <row r="284" spans="2:11" x14ac:dyDescent="0.3">
      <c r="B284" s="30" t="str">
        <f>IF(LoanIsGood,IF(ROW()-ROW(PaymentSchedule434[[#Headers],[PMT NO]])&gt;ScheduledNumberOfPayments,"",ROW()-ROW(PaymentSchedule434[[#Headers],[PMT NO]])),"")</f>
        <v/>
      </c>
      <c r="C284" s="31" t="str">
        <f>IF(PaymentSchedule434[[#This Row],[PMT NO]]&lt;&gt;"",EOMONTH(LoanStartDate,ROW(PaymentSchedule434[[#This Row],[PMT NO]])-ROW(PaymentSchedule434[[#Headers],[PMT NO]])-2)+DAY(LoanStartDate),"")</f>
        <v/>
      </c>
      <c r="D28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84" s="32" t="str">
        <f>IF(PaymentSchedule434[[#This Row],[PMT NO]]&lt;&gt;"",ScheduledPayment,"")</f>
        <v/>
      </c>
      <c r="F28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8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84" s="32" t="str">
        <f>IF(PaymentSchedule434[[#This Row],[PMT NO]]&lt;&gt;"",PaymentSchedule434[[#This Row],[TOTAL PAYMENT]]-PaymentSchedule434[[#This Row],[INTEREST]],"")</f>
        <v/>
      </c>
      <c r="I284" s="32" t="str">
        <f>IF(PaymentSchedule434[[#This Row],[PMT NO]]&lt;&gt;"",PaymentSchedule434[[#This Row],[BEGINNING BALANCE]]*(InterestRate/PaymentsPerYear),"")</f>
        <v/>
      </c>
      <c r="J28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84" s="32" t="str">
        <f>IF(PaymentSchedule434[[#This Row],[PMT NO]]&lt;&gt;"",SUM(INDEX(PaymentSchedule434[INTEREST],1,1):PaymentSchedule434[[#This Row],[INTEREST]]),"")</f>
        <v/>
      </c>
    </row>
    <row r="285" spans="2:11" x14ac:dyDescent="0.3">
      <c r="B285" s="30" t="str">
        <f>IF(LoanIsGood,IF(ROW()-ROW(PaymentSchedule434[[#Headers],[PMT NO]])&gt;ScheduledNumberOfPayments,"",ROW()-ROW(PaymentSchedule434[[#Headers],[PMT NO]])),"")</f>
        <v/>
      </c>
      <c r="C285" s="31" t="str">
        <f>IF(PaymentSchedule434[[#This Row],[PMT NO]]&lt;&gt;"",EOMONTH(LoanStartDate,ROW(PaymentSchedule434[[#This Row],[PMT NO]])-ROW(PaymentSchedule434[[#Headers],[PMT NO]])-2)+DAY(LoanStartDate),"")</f>
        <v/>
      </c>
      <c r="D28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85" s="32" t="str">
        <f>IF(PaymentSchedule434[[#This Row],[PMT NO]]&lt;&gt;"",ScheduledPayment,"")</f>
        <v/>
      </c>
      <c r="F28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8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85" s="32" t="str">
        <f>IF(PaymentSchedule434[[#This Row],[PMT NO]]&lt;&gt;"",PaymentSchedule434[[#This Row],[TOTAL PAYMENT]]-PaymentSchedule434[[#This Row],[INTEREST]],"")</f>
        <v/>
      </c>
      <c r="I285" s="32" t="str">
        <f>IF(PaymentSchedule434[[#This Row],[PMT NO]]&lt;&gt;"",PaymentSchedule434[[#This Row],[BEGINNING BALANCE]]*(InterestRate/PaymentsPerYear),"")</f>
        <v/>
      </c>
      <c r="J28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85" s="32" t="str">
        <f>IF(PaymentSchedule434[[#This Row],[PMT NO]]&lt;&gt;"",SUM(INDEX(PaymentSchedule434[INTEREST],1,1):PaymentSchedule434[[#This Row],[INTEREST]]),"")</f>
        <v/>
      </c>
    </row>
    <row r="286" spans="2:11" x14ac:dyDescent="0.3">
      <c r="B286" s="30" t="str">
        <f>IF(LoanIsGood,IF(ROW()-ROW(PaymentSchedule434[[#Headers],[PMT NO]])&gt;ScheduledNumberOfPayments,"",ROW()-ROW(PaymentSchedule434[[#Headers],[PMT NO]])),"")</f>
        <v/>
      </c>
      <c r="C286" s="31" t="str">
        <f>IF(PaymentSchedule434[[#This Row],[PMT NO]]&lt;&gt;"",EOMONTH(LoanStartDate,ROW(PaymentSchedule434[[#This Row],[PMT NO]])-ROW(PaymentSchedule434[[#Headers],[PMT NO]])-2)+DAY(LoanStartDate),"")</f>
        <v/>
      </c>
      <c r="D28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86" s="32" t="str">
        <f>IF(PaymentSchedule434[[#This Row],[PMT NO]]&lt;&gt;"",ScheduledPayment,"")</f>
        <v/>
      </c>
      <c r="F28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8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86" s="32" t="str">
        <f>IF(PaymentSchedule434[[#This Row],[PMT NO]]&lt;&gt;"",PaymentSchedule434[[#This Row],[TOTAL PAYMENT]]-PaymentSchedule434[[#This Row],[INTEREST]],"")</f>
        <v/>
      </c>
      <c r="I286" s="32" t="str">
        <f>IF(PaymentSchedule434[[#This Row],[PMT NO]]&lt;&gt;"",PaymentSchedule434[[#This Row],[BEGINNING BALANCE]]*(InterestRate/PaymentsPerYear),"")</f>
        <v/>
      </c>
      <c r="J28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86" s="32" t="str">
        <f>IF(PaymentSchedule434[[#This Row],[PMT NO]]&lt;&gt;"",SUM(INDEX(PaymentSchedule434[INTEREST],1,1):PaymentSchedule434[[#This Row],[INTEREST]]),"")</f>
        <v/>
      </c>
    </row>
    <row r="287" spans="2:11" x14ac:dyDescent="0.3">
      <c r="B287" s="30" t="str">
        <f>IF(LoanIsGood,IF(ROW()-ROW(PaymentSchedule434[[#Headers],[PMT NO]])&gt;ScheduledNumberOfPayments,"",ROW()-ROW(PaymentSchedule434[[#Headers],[PMT NO]])),"")</f>
        <v/>
      </c>
      <c r="C287" s="31" t="str">
        <f>IF(PaymentSchedule434[[#This Row],[PMT NO]]&lt;&gt;"",EOMONTH(LoanStartDate,ROW(PaymentSchedule434[[#This Row],[PMT NO]])-ROW(PaymentSchedule434[[#Headers],[PMT NO]])-2)+DAY(LoanStartDate),"")</f>
        <v/>
      </c>
      <c r="D28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87" s="32" t="str">
        <f>IF(PaymentSchedule434[[#This Row],[PMT NO]]&lt;&gt;"",ScheduledPayment,"")</f>
        <v/>
      </c>
      <c r="F28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8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87" s="32" t="str">
        <f>IF(PaymentSchedule434[[#This Row],[PMT NO]]&lt;&gt;"",PaymentSchedule434[[#This Row],[TOTAL PAYMENT]]-PaymentSchedule434[[#This Row],[INTEREST]],"")</f>
        <v/>
      </c>
      <c r="I287" s="32" t="str">
        <f>IF(PaymentSchedule434[[#This Row],[PMT NO]]&lt;&gt;"",PaymentSchedule434[[#This Row],[BEGINNING BALANCE]]*(InterestRate/PaymentsPerYear),"")</f>
        <v/>
      </c>
      <c r="J28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87" s="32" t="str">
        <f>IF(PaymentSchedule434[[#This Row],[PMT NO]]&lt;&gt;"",SUM(INDEX(PaymentSchedule434[INTEREST],1,1):PaymentSchedule434[[#This Row],[INTEREST]]),"")</f>
        <v/>
      </c>
    </row>
    <row r="288" spans="2:11" x14ac:dyDescent="0.3">
      <c r="B288" s="30" t="str">
        <f>IF(LoanIsGood,IF(ROW()-ROW(PaymentSchedule434[[#Headers],[PMT NO]])&gt;ScheduledNumberOfPayments,"",ROW()-ROW(PaymentSchedule434[[#Headers],[PMT NO]])),"")</f>
        <v/>
      </c>
      <c r="C288" s="31" t="str">
        <f>IF(PaymentSchedule434[[#This Row],[PMT NO]]&lt;&gt;"",EOMONTH(LoanStartDate,ROW(PaymentSchedule434[[#This Row],[PMT NO]])-ROW(PaymentSchedule434[[#Headers],[PMT NO]])-2)+DAY(LoanStartDate),"")</f>
        <v/>
      </c>
      <c r="D28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88" s="32" t="str">
        <f>IF(PaymentSchedule434[[#This Row],[PMT NO]]&lt;&gt;"",ScheduledPayment,"")</f>
        <v/>
      </c>
      <c r="F28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8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88" s="32" t="str">
        <f>IF(PaymentSchedule434[[#This Row],[PMT NO]]&lt;&gt;"",PaymentSchedule434[[#This Row],[TOTAL PAYMENT]]-PaymentSchedule434[[#This Row],[INTEREST]],"")</f>
        <v/>
      </c>
      <c r="I288" s="32" t="str">
        <f>IF(PaymentSchedule434[[#This Row],[PMT NO]]&lt;&gt;"",PaymentSchedule434[[#This Row],[BEGINNING BALANCE]]*(InterestRate/PaymentsPerYear),"")</f>
        <v/>
      </c>
      <c r="J28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88" s="32" t="str">
        <f>IF(PaymentSchedule434[[#This Row],[PMT NO]]&lt;&gt;"",SUM(INDEX(PaymentSchedule434[INTEREST],1,1):PaymentSchedule434[[#This Row],[INTEREST]]),"")</f>
        <v/>
      </c>
    </row>
    <row r="289" spans="2:11" x14ac:dyDescent="0.3">
      <c r="B289" s="30" t="str">
        <f>IF(LoanIsGood,IF(ROW()-ROW(PaymentSchedule434[[#Headers],[PMT NO]])&gt;ScheduledNumberOfPayments,"",ROW()-ROW(PaymentSchedule434[[#Headers],[PMT NO]])),"")</f>
        <v/>
      </c>
      <c r="C289" s="31" t="str">
        <f>IF(PaymentSchedule434[[#This Row],[PMT NO]]&lt;&gt;"",EOMONTH(LoanStartDate,ROW(PaymentSchedule434[[#This Row],[PMT NO]])-ROW(PaymentSchedule434[[#Headers],[PMT NO]])-2)+DAY(LoanStartDate),"")</f>
        <v/>
      </c>
      <c r="D28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89" s="32" t="str">
        <f>IF(PaymentSchedule434[[#This Row],[PMT NO]]&lt;&gt;"",ScheduledPayment,"")</f>
        <v/>
      </c>
      <c r="F28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8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89" s="32" t="str">
        <f>IF(PaymentSchedule434[[#This Row],[PMT NO]]&lt;&gt;"",PaymentSchedule434[[#This Row],[TOTAL PAYMENT]]-PaymentSchedule434[[#This Row],[INTEREST]],"")</f>
        <v/>
      </c>
      <c r="I289" s="32" t="str">
        <f>IF(PaymentSchedule434[[#This Row],[PMT NO]]&lt;&gt;"",PaymentSchedule434[[#This Row],[BEGINNING BALANCE]]*(InterestRate/PaymentsPerYear),"")</f>
        <v/>
      </c>
      <c r="J28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89" s="32" t="str">
        <f>IF(PaymentSchedule434[[#This Row],[PMT NO]]&lt;&gt;"",SUM(INDEX(PaymentSchedule434[INTEREST],1,1):PaymentSchedule434[[#This Row],[INTEREST]]),"")</f>
        <v/>
      </c>
    </row>
    <row r="290" spans="2:11" x14ac:dyDescent="0.3">
      <c r="B290" s="30" t="str">
        <f>IF(LoanIsGood,IF(ROW()-ROW(PaymentSchedule434[[#Headers],[PMT NO]])&gt;ScheduledNumberOfPayments,"",ROW()-ROW(PaymentSchedule434[[#Headers],[PMT NO]])),"")</f>
        <v/>
      </c>
      <c r="C290" s="31" t="str">
        <f>IF(PaymentSchedule434[[#This Row],[PMT NO]]&lt;&gt;"",EOMONTH(LoanStartDate,ROW(PaymentSchedule434[[#This Row],[PMT NO]])-ROW(PaymentSchedule434[[#Headers],[PMT NO]])-2)+DAY(LoanStartDate),"")</f>
        <v/>
      </c>
      <c r="D29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90" s="32" t="str">
        <f>IF(PaymentSchedule434[[#This Row],[PMT NO]]&lt;&gt;"",ScheduledPayment,"")</f>
        <v/>
      </c>
      <c r="F29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9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90" s="32" t="str">
        <f>IF(PaymentSchedule434[[#This Row],[PMT NO]]&lt;&gt;"",PaymentSchedule434[[#This Row],[TOTAL PAYMENT]]-PaymentSchedule434[[#This Row],[INTEREST]],"")</f>
        <v/>
      </c>
      <c r="I290" s="32" t="str">
        <f>IF(PaymentSchedule434[[#This Row],[PMT NO]]&lt;&gt;"",PaymentSchedule434[[#This Row],[BEGINNING BALANCE]]*(InterestRate/PaymentsPerYear),"")</f>
        <v/>
      </c>
      <c r="J29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90" s="32" t="str">
        <f>IF(PaymentSchedule434[[#This Row],[PMT NO]]&lt;&gt;"",SUM(INDEX(PaymentSchedule434[INTEREST],1,1):PaymentSchedule434[[#This Row],[INTEREST]]),"")</f>
        <v/>
      </c>
    </row>
    <row r="291" spans="2:11" x14ac:dyDescent="0.3">
      <c r="B291" s="30" t="str">
        <f>IF(LoanIsGood,IF(ROW()-ROW(PaymentSchedule434[[#Headers],[PMT NO]])&gt;ScheduledNumberOfPayments,"",ROW()-ROW(PaymentSchedule434[[#Headers],[PMT NO]])),"")</f>
        <v/>
      </c>
      <c r="C291" s="31" t="str">
        <f>IF(PaymentSchedule434[[#This Row],[PMT NO]]&lt;&gt;"",EOMONTH(LoanStartDate,ROW(PaymentSchedule434[[#This Row],[PMT NO]])-ROW(PaymentSchedule434[[#Headers],[PMT NO]])-2)+DAY(LoanStartDate),"")</f>
        <v/>
      </c>
      <c r="D29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91" s="32" t="str">
        <f>IF(PaymentSchedule434[[#This Row],[PMT NO]]&lt;&gt;"",ScheduledPayment,"")</f>
        <v/>
      </c>
      <c r="F29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9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91" s="32" t="str">
        <f>IF(PaymentSchedule434[[#This Row],[PMT NO]]&lt;&gt;"",PaymentSchedule434[[#This Row],[TOTAL PAYMENT]]-PaymentSchedule434[[#This Row],[INTEREST]],"")</f>
        <v/>
      </c>
      <c r="I291" s="32" t="str">
        <f>IF(PaymentSchedule434[[#This Row],[PMT NO]]&lt;&gt;"",PaymentSchedule434[[#This Row],[BEGINNING BALANCE]]*(InterestRate/PaymentsPerYear),"")</f>
        <v/>
      </c>
      <c r="J29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91" s="32" t="str">
        <f>IF(PaymentSchedule434[[#This Row],[PMT NO]]&lt;&gt;"",SUM(INDEX(PaymentSchedule434[INTEREST],1,1):PaymentSchedule434[[#This Row],[INTEREST]]),"")</f>
        <v/>
      </c>
    </row>
    <row r="292" spans="2:11" x14ac:dyDescent="0.3">
      <c r="B292" s="30" t="str">
        <f>IF(LoanIsGood,IF(ROW()-ROW(PaymentSchedule434[[#Headers],[PMT NO]])&gt;ScheduledNumberOfPayments,"",ROW()-ROW(PaymentSchedule434[[#Headers],[PMT NO]])),"")</f>
        <v/>
      </c>
      <c r="C292" s="31" t="str">
        <f>IF(PaymentSchedule434[[#This Row],[PMT NO]]&lt;&gt;"",EOMONTH(LoanStartDate,ROW(PaymentSchedule434[[#This Row],[PMT NO]])-ROW(PaymentSchedule434[[#Headers],[PMT NO]])-2)+DAY(LoanStartDate),"")</f>
        <v/>
      </c>
      <c r="D29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92" s="32" t="str">
        <f>IF(PaymentSchedule434[[#This Row],[PMT NO]]&lt;&gt;"",ScheduledPayment,"")</f>
        <v/>
      </c>
      <c r="F29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9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92" s="32" t="str">
        <f>IF(PaymentSchedule434[[#This Row],[PMT NO]]&lt;&gt;"",PaymentSchedule434[[#This Row],[TOTAL PAYMENT]]-PaymentSchedule434[[#This Row],[INTEREST]],"")</f>
        <v/>
      </c>
      <c r="I292" s="32" t="str">
        <f>IF(PaymentSchedule434[[#This Row],[PMT NO]]&lt;&gt;"",PaymentSchedule434[[#This Row],[BEGINNING BALANCE]]*(InterestRate/PaymentsPerYear),"")</f>
        <v/>
      </c>
      <c r="J29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92" s="32" t="str">
        <f>IF(PaymentSchedule434[[#This Row],[PMT NO]]&lt;&gt;"",SUM(INDEX(PaymentSchedule434[INTEREST],1,1):PaymentSchedule434[[#This Row],[INTEREST]]),"")</f>
        <v/>
      </c>
    </row>
    <row r="293" spans="2:11" x14ac:dyDescent="0.3">
      <c r="B293" s="30" t="str">
        <f>IF(LoanIsGood,IF(ROW()-ROW(PaymentSchedule434[[#Headers],[PMT NO]])&gt;ScheduledNumberOfPayments,"",ROW()-ROW(PaymentSchedule434[[#Headers],[PMT NO]])),"")</f>
        <v/>
      </c>
      <c r="C293" s="31" t="str">
        <f>IF(PaymentSchedule434[[#This Row],[PMT NO]]&lt;&gt;"",EOMONTH(LoanStartDate,ROW(PaymentSchedule434[[#This Row],[PMT NO]])-ROW(PaymentSchedule434[[#Headers],[PMT NO]])-2)+DAY(LoanStartDate),"")</f>
        <v/>
      </c>
      <c r="D29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93" s="32" t="str">
        <f>IF(PaymentSchedule434[[#This Row],[PMT NO]]&lt;&gt;"",ScheduledPayment,"")</f>
        <v/>
      </c>
      <c r="F29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9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93" s="32" t="str">
        <f>IF(PaymentSchedule434[[#This Row],[PMT NO]]&lt;&gt;"",PaymentSchedule434[[#This Row],[TOTAL PAYMENT]]-PaymentSchedule434[[#This Row],[INTEREST]],"")</f>
        <v/>
      </c>
      <c r="I293" s="32" t="str">
        <f>IF(PaymentSchedule434[[#This Row],[PMT NO]]&lt;&gt;"",PaymentSchedule434[[#This Row],[BEGINNING BALANCE]]*(InterestRate/PaymentsPerYear),"")</f>
        <v/>
      </c>
      <c r="J29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93" s="32" t="str">
        <f>IF(PaymentSchedule434[[#This Row],[PMT NO]]&lt;&gt;"",SUM(INDEX(PaymentSchedule434[INTEREST],1,1):PaymentSchedule434[[#This Row],[INTEREST]]),"")</f>
        <v/>
      </c>
    </row>
    <row r="294" spans="2:11" x14ac:dyDescent="0.3">
      <c r="B294" s="30" t="str">
        <f>IF(LoanIsGood,IF(ROW()-ROW(PaymentSchedule434[[#Headers],[PMT NO]])&gt;ScheduledNumberOfPayments,"",ROW()-ROW(PaymentSchedule434[[#Headers],[PMT NO]])),"")</f>
        <v/>
      </c>
      <c r="C294" s="31" t="str">
        <f>IF(PaymentSchedule434[[#This Row],[PMT NO]]&lt;&gt;"",EOMONTH(LoanStartDate,ROW(PaymentSchedule434[[#This Row],[PMT NO]])-ROW(PaymentSchedule434[[#Headers],[PMT NO]])-2)+DAY(LoanStartDate),"")</f>
        <v/>
      </c>
      <c r="D29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94" s="32" t="str">
        <f>IF(PaymentSchedule434[[#This Row],[PMT NO]]&lt;&gt;"",ScheduledPayment,"")</f>
        <v/>
      </c>
      <c r="F29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9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94" s="32" t="str">
        <f>IF(PaymentSchedule434[[#This Row],[PMT NO]]&lt;&gt;"",PaymentSchedule434[[#This Row],[TOTAL PAYMENT]]-PaymentSchedule434[[#This Row],[INTEREST]],"")</f>
        <v/>
      </c>
      <c r="I294" s="32" t="str">
        <f>IF(PaymentSchedule434[[#This Row],[PMT NO]]&lt;&gt;"",PaymentSchedule434[[#This Row],[BEGINNING BALANCE]]*(InterestRate/PaymentsPerYear),"")</f>
        <v/>
      </c>
      <c r="J29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94" s="32" t="str">
        <f>IF(PaymentSchedule434[[#This Row],[PMT NO]]&lt;&gt;"",SUM(INDEX(PaymentSchedule434[INTEREST],1,1):PaymentSchedule434[[#This Row],[INTEREST]]),"")</f>
        <v/>
      </c>
    </row>
    <row r="295" spans="2:11" x14ac:dyDescent="0.3">
      <c r="B295" s="30" t="str">
        <f>IF(LoanIsGood,IF(ROW()-ROW(PaymentSchedule434[[#Headers],[PMT NO]])&gt;ScheduledNumberOfPayments,"",ROW()-ROW(PaymentSchedule434[[#Headers],[PMT NO]])),"")</f>
        <v/>
      </c>
      <c r="C295" s="31" t="str">
        <f>IF(PaymentSchedule434[[#This Row],[PMT NO]]&lt;&gt;"",EOMONTH(LoanStartDate,ROW(PaymentSchedule434[[#This Row],[PMT NO]])-ROW(PaymentSchedule434[[#Headers],[PMT NO]])-2)+DAY(LoanStartDate),"")</f>
        <v/>
      </c>
      <c r="D29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95" s="32" t="str">
        <f>IF(PaymentSchedule434[[#This Row],[PMT NO]]&lt;&gt;"",ScheduledPayment,"")</f>
        <v/>
      </c>
      <c r="F29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9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95" s="32" t="str">
        <f>IF(PaymentSchedule434[[#This Row],[PMT NO]]&lt;&gt;"",PaymentSchedule434[[#This Row],[TOTAL PAYMENT]]-PaymentSchedule434[[#This Row],[INTEREST]],"")</f>
        <v/>
      </c>
      <c r="I295" s="32" t="str">
        <f>IF(PaymentSchedule434[[#This Row],[PMT NO]]&lt;&gt;"",PaymentSchedule434[[#This Row],[BEGINNING BALANCE]]*(InterestRate/PaymentsPerYear),"")</f>
        <v/>
      </c>
      <c r="J29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95" s="32" t="str">
        <f>IF(PaymentSchedule434[[#This Row],[PMT NO]]&lt;&gt;"",SUM(INDEX(PaymentSchedule434[INTEREST],1,1):PaymentSchedule434[[#This Row],[INTEREST]]),"")</f>
        <v/>
      </c>
    </row>
    <row r="296" spans="2:11" x14ac:dyDescent="0.3">
      <c r="B296" s="30" t="str">
        <f>IF(LoanIsGood,IF(ROW()-ROW(PaymentSchedule434[[#Headers],[PMT NO]])&gt;ScheduledNumberOfPayments,"",ROW()-ROW(PaymentSchedule434[[#Headers],[PMT NO]])),"")</f>
        <v/>
      </c>
      <c r="C296" s="31" t="str">
        <f>IF(PaymentSchedule434[[#This Row],[PMT NO]]&lt;&gt;"",EOMONTH(LoanStartDate,ROW(PaymentSchedule434[[#This Row],[PMT NO]])-ROW(PaymentSchedule434[[#Headers],[PMT NO]])-2)+DAY(LoanStartDate),"")</f>
        <v/>
      </c>
      <c r="D29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96" s="32" t="str">
        <f>IF(PaymentSchedule434[[#This Row],[PMT NO]]&lt;&gt;"",ScheduledPayment,"")</f>
        <v/>
      </c>
      <c r="F29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9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96" s="32" t="str">
        <f>IF(PaymentSchedule434[[#This Row],[PMT NO]]&lt;&gt;"",PaymentSchedule434[[#This Row],[TOTAL PAYMENT]]-PaymentSchedule434[[#This Row],[INTEREST]],"")</f>
        <v/>
      </c>
      <c r="I296" s="32" t="str">
        <f>IF(PaymentSchedule434[[#This Row],[PMT NO]]&lt;&gt;"",PaymentSchedule434[[#This Row],[BEGINNING BALANCE]]*(InterestRate/PaymentsPerYear),"")</f>
        <v/>
      </c>
      <c r="J29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96" s="32" t="str">
        <f>IF(PaymentSchedule434[[#This Row],[PMT NO]]&lt;&gt;"",SUM(INDEX(PaymentSchedule434[INTEREST],1,1):PaymentSchedule434[[#This Row],[INTEREST]]),"")</f>
        <v/>
      </c>
    </row>
    <row r="297" spans="2:11" x14ac:dyDescent="0.3">
      <c r="B297" s="30" t="str">
        <f>IF(LoanIsGood,IF(ROW()-ROW(PaymentSchedule434[[#Headers],[PMT NO]])&gt;ScheduledNumberOfPayments,"",ROW()-ROW(PaymentSchedule434[[#Headers],[PMT NO]])),"")</f>
        <v/>
      </c>
      <c r="C297" s="31" t="str">
        <f>IF(PaymentSchedule434[[#This Row],[PMT NO]]&lt;&gt;"",EOMONTH(LoanStartDate,ROW(PaymentSchedule434[[#This Row],[PMT NO]])-ROW(PaymentSchedule434[[#Headers],[PMT NO]])-2)+DAY(LoanStartDate),"")</f>
        <v/>
      </c>
      <c r="D29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97" s="32" t="str">
        <f>IF(PaymentSchedule434[[#This Row],[PMT NO]]&lt;&gt;"",ScheduledPayment,"")</f>
        <v/>
      </c>
      <c r="F29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9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97" s="32" t="str">
        <f>IF(PaymentSchedule434[[#This Row],[PMT NO]]&lt;&gt;"",PaymentSchedule434[[#This Row],[TOTAL PAYMENT]]-PaymentSchedule434[[#This Row],[INTEREST]],"")</f>
        <v/>
      </c>
      <c r="I297" s="32" t="str">
        <f>IF(PaymentSchedule434[[#This Row],[PMT NO]]&lt;&gt;"",PaymentSchedule434[[#This Row],[BEGINNING BALANCE]]*(InterestRate/PaymentsPerYear),"")</f>
        <v/>
      </c>
      <c r="J29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97" s="32" t="str">
        <f>IF(PaymentSchedule434[[#This Row],[PMT NO]]&lt;&gt;"",SUM(INDEX(PaymentSchedule434[INTEREST],1,1):PaymentSchedule434[[#This Row],[INTEREST]]),"")</f>
        <v/>
      </c>
    </row>
    <row r="298" spans="2:11" x14ac:dyDescent="0.3">
      <c r="B298" s="30" t="str">
        <f>IF(LoanIsGood,IF(ROW()-ROW(PaymentSchedule434[[#Headers],[PMT NO]])&gt;ScheduledNumberOfPayments,"",ROW()-ROW(PaymentSchedule434[[#Headers],[PMT NO]])),"")</f>
        <v/>
      </c>
      <c r="C298" s="31" t="str">
        <f>IF(PaymentSchedule434[[#This Row],[PMT NO]]&lt;&gt;"",EOMONTH(LoanStartDate,ROW(PaymentSchedule434[[#This Row],[PMT NO]])-ROW(PaymentSchedule434[[#Headers],[PMT NO]])-2)+DAY(LoanStartDate),"")</f>
        <v/>
      </c>
      <c r="D29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98" s="32" t="str">
        <f>IF(PaymentSchedule434[[#This Row],[PMT NO]]&lt;&gt;"",ScheduledPayment,"")</f>
        <v/>
      </c>
      <c r="F29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9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98" s="32" t="str">
        <f>IF(PaymentSchedule434[[#This Row],[PMT NO]]&lt;&gt;"",PaymentSchedule434[[#This Row],[TOTAL PAYMENT]]-PaymentSchedule434[[#This Row],[INTEREST]],"")</f>
        <v/>
      </c>
      <c r="I298" s="32" t="str">
        <f>IF(PaymentSchedule434[[#This Row],[PMT NO]]&lt;&gt;"",PaymentSchedule434[[#This Row],[BEGINNING BALANCE]]*(InterestRate/PaymentsPerYear),"")</f>
        <v/>
      </c>
      <c r="J29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98" s="32" t="str">
        <f>IF(PaymentSchedule434[[#This Row],[PMT NO]]&lt;&gt;"",SUM(INDEX(PaymentSchedule434[INTEREST],1,1):PaymentSchedule434[[#This Row],[INTEREST]]),"")</f>
        <v/>
      </c>
    </row>
    <row r="299" spans="2:11" x14ac:dyDescent="0.3">
      <c r="B299" s="30" t="str">
        <f>IF(LoanIsGood,IF(ROW()-ROW(PaymentSchedule434[[#Headers],[PMT NO]])&gt;ScheduledNumberOfPayments,"",ROW()-ROW(PaymentSchedule434[[#Headers],[PMT NO]])),"")</f>
        <v/>
      </c>
      <c r="C299" s="31" t="str">
        <f>IF(PaymentSchedule434[[#This Row],[PMT NO]]&lt;&gt;"",EOMONTH(LoanStartDate,ROW(PaymentSchedule434[[#This Row],[PMT NO]])-ROW(PaymentSchedule434[[#Headers],[PMT NO]])-2)+DAY(LoanStartDate),"")</f>
        <v/>
      </c>
      <c r="D29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299" s="32" t="str">
        <f>IF(PaymentSchedule434[[#This Row],[PMT NO]]&lt;&gt;"",ScheduledPayment,"")</f>
        <v/>
      </c>
      <c r="F29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29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299" s="32" t="str">
        <f>IF(PaymentSchedule434[[#This Row],[PMT NO]]&lt;&gt;"",PaymentSchedule434[[#This Row],[TOTAL PAYMENT]]-PaymentSchedule434[[#This Row],[INTEREST]],"")</f>
        <v/>
      </c>
      <c r="I299" s="32" t="str">
        <f>IF(PaymentSchedule434[[#This Row],[PMT NO]]&lt;&gt;"",PaymentSchedule434[[#This Row],[BEGINNING BALANCE]]*(InterestRate/PaymentsPerYear),"")</f>
        <v/>
      </c>
      <c r="J29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299" s="32" t="str">
        <f>IF(PaymentSchedule434[[#This Row],[PMT NO]]&lt;&gt;"",SUM(INDEX(PaymentSchedule434[INTEREST],1,1):PaymentSchedule434[[#This Row],[INTEREST]]),"")</f>
        <v/>
      </c>
    </row>
    <row r="300" spans="2:11" x14ac:dyDescent="0.3">
      <c r="B300" s="30" t="str">
        <f>IF(LoanIsGood,IF(ROW()-ROW(PaymentSchedule434[[#Headers],[PMT NO]])&gt;ScheduledNumberOfPayments,"",ROW()-ROW(PaymentSchedule434[[#Headers],[PMT NO]])),"")</f>
        <v/>
      </c>
      <c r="C300" s="31" t="str">
        <f>IF(PaymentSchedule434[[#This Row],[PMT NO]]&lt;&gt;"",EOMONTH(LoanStartDate,ROW(PaymentSchedule434[[#This Row],[PMT NO]])-ROW(PaymentSchedule434[[#Headers],[PMT NO]])-2)+DAY(LoanStartDate),"")</f>
        <v/>
      </c>
      <c r="D30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00" s="32" t="str">
        <f>IF(PaymentSchedule434[[#This Row],[PMT NO]]&lt;&gt;"",ScheduledPayment,"")</f>
        <v/>
      </c>
      <c r="F30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0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00" s="32" t="str">
        <f>IF(PaymentSchedule434[[#This Row],[PMT NO]]&lt;&gt;"",PaymentSchedule434[[#This Row],[TOTAL PAYMENT]]-PaymentSchedule434[[#This Row],[INTEREST]],"")</f>
        <v/>
      </c>
      <c r="I300" s="32" t="str">
        <f>IF(PaymentSchedule434[[#This Row],[PMT NO]]&lt;&gt;"",PaymentSchedule434[[#This Row],[BEGINNING BALANCE]]*(InterestRate/PaymentsPerYear),"")</f>
        <v/>
      </c>
      <c r="J30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00" s="32" t="str">
        <f>IF(PaymentSchedule434[[#This Row],[PMT NO]]&lt;&gt;"",SUM(INDEX(PaymentSchedule434[INTEREST],1,1):PaymentSchedule434[[#This Row],[INTEREST]]),"")</f>
        <v/>
      </c>
    </row>
    <row r="301" spans="2:11" x14ac:dyDescent="0.3">
      <c r="B301" s="30" t="str">
        <f>IF(LoanIsGood,IF(ROW()-ROW(PaymentSchedule434[[#Headers],[PMT NO]])&gt;ScheduledNumberOfPayments,"",ROW()-ROW(PaymentSchedule434[[#Headers],[PMT NO]])),"")</f>
        <v/>
      </c>
      <c r="C301" s="31" t="str">
        <f>IF(PaymentSchedule434[[#This Row],[PMT NO]]&lt;&gt;"",EOMONTH(LoanStartDate,ROW(PaymentSchedule434[[#This Row],[PMT NO]])-ROW(PaymentSchedule434[[#Headers],[PMT NO]])-2)+DAY(LoanStartDate),"")</f>
        <v/>
      </c>
      <c r="D30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01" s="32" t="str">
        <f>IF(PaymentSchedule434[[#This Row],[PMT NO]]&lt;&gt;"",ScheduledPayment,"")</f>
        <v/>
      </c>
      <c r="F30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0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01" s="32" t="str">
        <f>IF(PaymentSchedule434[[#This Row],[PMT NO]]&lt;&gt;"",PaymentSchedule434[[#This Row],[TOTAL PAYMENT]]-PaymentSchedule434[[#This Row],[INTEREST]],"")</f>
        <v/>
      </c>
      <c r="I301" s="32" t="str">
        <f>IF(PaymentSchedule434[[#This Row],[PMT NO]]&lt;&gt;"",PaymentSchedule434[[#This Row],[BEGINNING BALANCE]]*(InterestRate/PaymentsPerYear),"")</f>
        <v/>
      </c>
      <c r="J30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01" s="32" t="str">
        <f>IF(PaymentSchedule434[[#This Row],[PMT NO]]&lt;&gt;"",SUM(INDEX(PaymentSchedule434[INTEREST],1,1):PaymentSchedule434[[#This Row],[INTEREST]]),"")</f>
        <v/>
      </c>
    </row>
    <row r="302" spans="2:11" x14ac:dyDescent="0.3">
      <c r="B302" s="30" t="str">
        <f>IF(LoanIsGood,IF(ROW()-ROW(PaymentSchedule434[[#Headers],[PMT NO]])&gt;ScheduledNumberOfPayments,"",ROW()-ROW(PaymentSchedule434[[#Headers],[PMT NO]])),"")</f>
        <v/>
      </c>
      <c r="C302" s="31" t="str">
        <f>IF(PaymentSchedule434[[#This Row],[PMT NO]]&lt;&gt;"",EOMONTH(LoanStartDate,ROW(PaymentSchedule434[[#This Row],[PMT NO]])-ROW(PaymentSchedule434[[#Headers],[PMT NO]])-2)+DAY(LoanStartDate),"")</f>
        <v/>
      </c>
      <c r="D30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02" s="32" t="str">
        <f>IF(PaymentSchedule434[[#This Row],[PMT NO]]&lt;&gt;"",ScheduledPayment,"")</f>
        <v/>
      </c>
      <c r="F30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0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02" s="32" t="str">
        <f>IF(PaymentSchedule434[[#This Row],[PMT NO]]&lt;&gt;"",PaymentSchedule434[[#This Row],[TOTAL PAYMENT]]-PaymentSchedule434[[#This Row],[INTEREST]],"")</f>
        <v/>
      </c>
      <c r="I302" s="32" t="str">
        <f>IF(PaymentSchedule434[[#This Row],[PMT NO]]&lt;&gt;"",PaymentSchedule434[[#This Row],[BEGINNING BALANCE]]*(InterestRate/PaymentsPerYear),"")</f>
        <v/>
      </c>
      <c r="J30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02" s="32" t="str">
        <f>IF(PaymentSchedule434[[#This Row],[PMT NO]]&lt;&gt;"",SUM(INDEX(PaymentSchedule434[INTEREST],1,1):PaymentSchedule434[[#This Row],[INTEREST]]),"")</f>
        <v/>
      </c>
    </row>
    <row r="303" spans="2:11" x14ac:dyDescent="0.3">
      <c r="B303" s="30" t="str">
        <f>IF(LoanIsGood,IF(ROW()-ROW(PaymentSchedule434[[#Headers],[PMT NO]])&gt;ScheduledNumberOfPayments,"",ROW()-ROW(PaymentSchedule434[[#Headers],[PMT NO]])),"")</f>
        <v/>
      </c>
      <c r="C303" s="31" t="str">
        <f>IF(PaymentSchedule434[[#This Row],[PMT NO]]&lt;&gt;"",EOMONTH(LoanStartDate,ROW(PaymentSchedule434[[#This Row],[PMT NO]])-ROW(PaymentSchedule434[[#Headers],[PMT NO]])-2)+DAY(LoanStartDate),"")</f>
        <v/>
      </c>
      <c r="D30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03" s="32" t="str">
        <f>IF(PaymentSchedule434[[#This Row],[PMT NO]]&lt;&gt;"",ScheduledPayment,"")</f>
        <v/>
      </c>
      <c r="F30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0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03" s="32" t="str">
        <f>IF(PaymentSchedule434[[#This Row],[PMT NO]]&lt;&gt;"",PaymentSchedule434[[#This Row],[TOTAL PAYMENT]]-PaymentSchedule434[[#This Row],[INTEREST]],"")</f>
        <v/>
      </c>
      <c r="I303" s="32" t="str">
        <f>IF(PaymentSchedule434[[#This Row],[PMT NO]]&lt;&gt;"",PaymentSchedule434[[#This Row],[BEGINNING BALANCE]]*(InterestRate/PaymentsPerYear),"")</f>
        <v/>
      </c>
      <c r="J30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03" s="32" t="str">
        <f>IF(PaymentSchedule434[[#This Row],[PMT NO]]&lt;&gt;"",SUM(INDEX(PaymentSchedule434[INTEREST],1,1):PaymentSchedule434[[#This Row],[INTEREST]]),"")</f>
        <v/>
      </c>
    </row>
    <row r="304" spans="2:11" x14ac:dyDescent="0.3">
      <c r="B304" s="30" t="str">
        <f>IF(LoanIsGood,IF(ROW()-ROW(PaymentSchedule434[[#Headers],[PMT NO]])&gt;ScheduledNumberOfPayments,"",ROW()-ROW(PaymentSchedule434[[#Headers],[PMT NO]])),"")</f>
        <v/>
      </c>
      <c r="C304" s="31" t="str">
        <f>IF(PaymentSchedule434[[#This Row],[PMT NO]]&lt;&gt;"",EOMONTH(LoanStartDate,ROW(PaymentSchedule434[[#This Row],[PMT NO]])-ROW(PaymentSchedule434[[#Headers],[PMT NO]])-2)+DAY(LoanStartDate),"")</f>
        <v/>
      </c>
      <c r="D30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04" s="32" t="str">
        <f>IF(PaymentSchedule434[[#This Row],[PMT NO]]&lt;&gt;"",ScheduledPayment,"")</f>
        <v/>
      </c>
      <c r="F30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0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04" s="32" t="str">
        <f>IF(PaymentSchedule434[[#This Row],[PMT NO]]&lt;&gt;"",PaymentSchedule434[[#This Row],[TOTAL PAYMENT]]-PaymentSchedule434[[#This Row],[INTEREST]],"")</f>
        <v/>
      </c>
      <c r="I304" s="32" t="str">
        <f>IF(PaymentSchedule434[[#This Row],[PMT NO]]&lt;&gt;"",PaymentSchedule434[[#This Row],[BEGINNING BALANCE]]*(InterestRate/PaymentsPerYear),"")</f>
        <v/>
      </c>
      <c r="J30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04" s="32" t="str">
        <f>IF(PaymentSchedule434[[#This Row],[PMT NO]]&lt;&gt;"",SUM(INDEX(PaymentSchedule434[INTEREST],1,1):PaymentSchedule434[[#This Row],[INTEREST]]),"")</f>
        <v/>
      </c>
    </row>
    <row r="305" spans="2:11" x14ac:dyDescent="0.3">
      <c r="B305" s="30" t="str">
        <f>IF(LoanIsGood,IF(ROW()-ROW(PaymentSchedule434[[#Headers],[PMT NO]])&gt;ScheduledNumberOfPayments,"",ROW()-ROW(PaymentSchedule434[[#Headers],[PMT NO]])),"")</f>
        <v/>
      </c>
      <c r="C305" s="31" t="str">
        <f>IF(PaymentSchedule434[[#This Row],[PMT NO]]&lt;&gt;"",EOMONTH(LoanStartDate,ROW(PaymentSchedule434[[#This Row],[PMT NO]])-ROW(PaymentSchedule434[[#Headers],[PMT NO]])-2)+DAY(LoanStartDate),"")</f>
        <v/>
      </c>
      <c r="D30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05" s="32" t="str">
        <f>IF(PaymentSchedule434[[#This Row],[PMT NO]]&lt;&gt;"",ScheduledPayment,"")</f>
        <v/>
      </c>
      <c r="F30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0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05" s="32" t="str">
        <f>IF(PaymentSchedule434[[#This Row],[PMT NO]]&lt;&gt;"",PaymentSchedule434[[#This Row],[TOTAL PAYMENT]]-PaymentSchedule434[[#This Row],[INTEREST]],"")</f>
        <v/>
      </c>
      <c r="I305" s="32" t="str">
        <f>IF(PaymentSchedule434[[#This Row],[PMT NO]]&lt;&gt;"",PaymentSchedule434[[#This Row],[BEGINNING BALANCE]]*(InterestRate/PaymentsPerYear),"")</f>
        <v/>
      </c>
      <c r="J30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05" s="32" t="str">
        <f>IF(PaymentSchedule434[[#This Row],[PMT NO]]&lt;&gt;"",SUM(INDEX(PaymentSchedule434[INTEREST],1,1):PaymentSchedule434[[#This Row],[INTEREST]]),"")</f>
        <v/>
      </c>
    </row>
    <row r="306" spans="2:11" x14ac:dyDescent="0.3">
      <c r="B306" s="30" t="str">
        <f>IF(LoanIsGood,IF(ROW()-ROW(PaymentSchedule434[[#Headers],[PMT NO]])&gt;ScheduledNumberOfPayments,"",ROW()-ROW(PaymentSchedule434[[#Headers],[PMT NO]])),"")</f>
        <v/>
      </c>
      <c r="C306" s="31" t="str">
        <f>IF(PaymentSchedule434[[#This Row],[PMT NO]]&lt;&gt;"",EOMONTH(LoanStartDate,ROW(PaymentSchedule434[[#This Row],[PMT NO]])-ROW(PaymentSchedule434[[#Headers],[PMT NO]])-2)+DAY(LoanStartDate),"")</f>
        <v/>
      </c>
      <c r="D30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06" s="32" t="str">
        <f>IF(PaymentSchedule434[[#This Row],[PMT NO]]&lt;&gt;"",ScheduledPayment,"")</f>
        <v/>
      </c>
      <c r="F30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0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06" s="32" t="str">
        <f>IF(PaymentSchedule434[[#This Row],[PMT NO]]&lt;&gt;"",PaymentSchedule434[[#This Row],[TOTAL PAYMENT]]-PaymentSchedule434[[#This Row],[INTEREST]],"")</f>
        <v/>
      </c>
      <c r="I306" s="32" t="str">
        <f>IF(PaymentSchedule434[[#This Row],[PMT NO]]&lt;&gt;"",PaymentSchedule434[[#This Row],[BEGINNING BALANCE]]*(InterestRate/PaymentsPerYear),"")</f>
        <v/>
      </c>
      <c r="J30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06" s="32" t="str">
        <f>IF(PaymentSchedule434[[#This Row],[PMT NO]]&lt;&gt;"",SUM(INDEX(PaymentSchedule434[INTEREST],1,1):PaymentSchedule434[[#This Row],[INTEREST]]),"")</f>
        <v/>
      </c>
    </row>
    <row r="307" spans="2:11" x14ac:dyDescent="0.3">
      <c r="B307" s="30" t="str">
        <f>IF(LoanIsGood,IF(ROW()-ROW(PaymentSchedule434[[#Headers],[PMT NO]])&gt;ScheduledNumberOfPayments,"",ROW()-ROW(PaymentSchedule434[[#Headers],[PMT NO]])),"")</f>
        <v/>
      </c>
      <c r="C307" s="31" t="str">
        <f>IF(PaymentSchedule434[[#This Row],[PMT NO]]&lt;&gt;"",EOMONTH(LoanStartDate,ROW(PaymentSchedule434[[#This Row],[PMT NO]])-ROW(PaymentSchedule434[[#Headers],[PMT NO]])-2)+DAY(LoanStartDate),"")</f>
        <v/>
      </c>
      <c r="D30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07" s="32" t="str">
        <f>IF(PaymentSchedule434[[#This Row],[PMT NO]]&lt;&gt;"",ScheduledPayment,"")</f>
        <v/>
      </c>
      <c r="F30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0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07" s="32" t="str">
        <f>IF(PaymentSchedule434[[#This Row],[PMT NO]]&lt;&gt;"",PaymentSchedule434[[#This Row],[TOTAL PAYMENT]]-PaymentSchedule434[[#This Row],[INTEREST]],"")</f>
        <v/>
      </c>
      <c r="I307" s="32" t="str">
        <f>IF(PaymentSchedule434[[#This Row],[PMT NO]]&lt;&gt;"",PaymentSchedule434[[#This Row],[BEGINNING BALANCE]]*(InterestRate/PaymentsPerYear),"")</f>
        <v/>
      </c>
      <c r="J30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07" s="32" t="str">
        <f>IF(PaymentSchedule434[[#This Row],[PMT NO]]&lt;&gt;"",SUM(INDEX(PaymentSchedule434[INTEREST],1,1):PaymentSchedule434[[#This Row],[INTEREST]]),"")</f>
        <v/>
      </c>
    </row>
    <row r="308" spans="2:11" x14ac:dyDescent="0.3">
      <c r="B308" s="30" t="str">
        <f>IF(LoanIsGood,IF(ROW()-ROW(PaymentSchedule434[[#Headers],[PMT NO]])&gt;ScheduledNumberOfPayments,"",ROW()-ROW(PaymentSchedule434[[#Headers],[PMT NO]])),"")</f>
        <v/>
      </c>
      <c r="C308" s="31" t="str">
        <f>IF(PaymentSchedule434[[#This Row],[PMT NO]]&lt;&gt;"",EOMONTH(LoanStartDate,ROW(PaymentSchedule434[[#This Row],[PMT NO]])-ROW(PaymentSchedule434[[#Headers],[PMT NO]])-2)+DAY(LoanStartDate),"")</f>
        <v/>
      </c>
      <c r="D30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08" s="32" t="str">
        <f>IF(PaymentSchedule434[[#This Row],[PMT NO]]&lt;&gt;"",ScheduledPayment,"")</f>
        <v/>
      </c>
      <c r="F30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0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08" s="32" t="str">
        <f>IF(PaymentSchedule434[[#This Row],[PMT NO]]&lt;&gt;"",PaymentSchedule434[[#This Row],[TOTAL PAYMENT]]-PaymentSchedule434[[#This Row],[INTEREST]],"")</f>
        <v/>
      </c>
      <c r="I308" s="32" t="str">
        <f>IF(PaymentSchedule434[[#This Row],[PMT NO]]&lt;&gt;"",PaymentSchedule434[[#This Row],[BEGINNING BALANCE]]*(InterestRate/PaymentsPerYear),"")</f>
        <v/>
      </c>
      <c r="J30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08" s="32" t="str">
        <f>IF(PaymentSchedule434[[#This Row],[PMT NO]]&lt;&gt;"",SUM(INDEX(PaymentSchedule434[INTEREST],1,1):PaymentSchedule434[[#This Row],[INTEREST]]),"")</f>
        <v/>
      </c>
    </row>
    <row r="309" spans="2:11" x14ac:dyDescent="0.3">
      <c r="B309" s="30" t="str">
        <f>IF(LoanIsGood,IF(ROW()-ROW(PaymentSchedule434[[#Headers],[PMT NO]])&gt;ScheduledNumberOfPayments,"",ROW()-ROW(PaymentSchedule434[[#Headers],[PMT NO]])),"")</f>
        <v/>
      </c>
      <c r="C309" s="31" t="str">
        <f>IF(PaymentSchedule434[[#This Row],[PMT NO]]&lt;&gt;"",EOMONTH(LoanStartDate,ROW(PaymentSchedule434[[#This Row],[PMT NO]])-ROW(PaymentSchedule434[[#Headers],[PMT NO]])-2)+DAY(LoanStartDate),"")</f>
        <v/>
      </c>
      <c r="D30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09" s="32" t="str">
        <f>IF(PaymentSchedule434[[#This Row],[PMT NO]]&lt;&gt;"",ScheduledPayment,"")</f>
        <v/>
      </c>
      <c r="F30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0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09" s="32" t="str">
        <f>IF(PaymentSchedule434[[#This Row],[PMT NO]]&lt;&gt;"",PaymentSchedule434[[#This Row],[TOTAL PAYMENT]]-PaymentSchedule434[[#This Row],[INTEREST]],"")</f>
        <v/>
      </c>
      <c r="I309" s="32" t="str">
        <f>IF(PaymentSchedule434[[#This Row],[PMT NO]]&lt;&gt;"",PaymentSchedule434[[#This Row],[BEGINNING BALANCE]]*(InterestRate/PaymentsPerYear),"")</f>
        <v/>
      </c>
      <c r="J30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09" s="32" t="str">
        <f>IF(PaymentSchedule434[[#This Row],[PMT NO]]&lt;&gt;"",SUM(INDEX(PaymentSchedule434[INTEREST],1,1):PaymentSchedule434[[#This Row],[INTEREST]]),"")</f>
        <v/>
      </c>
    </row>
    <row r="310" spans="2:11" x14ac:dyDescent="0.3">
      <c r="B310" s="30" t="str">
        <f>IF(LoanIsGood,IF(ROW()-ROW(PaymentSchedule434[[#Headers],[PMT NO]])&gt;ScheduledNumberOfPayments,"",ROW()-ROW(PaymentSchedule434[[#Headers],[PMT NO]])),"")</f>
        <v/>
      </c>
      <c r="C310" s="31" t="str">
        <f>IF(PaymentSchedule434[[#This Row],[PMT NO]]&lt;&gt;"",EOMONTH(LoanStartDate,ROW(PaymentSchedule434[[#This Row],[PMT NO]])-ROW(PaymentSchedule434[[#Headers],[PMT NO]])-2)+DAY(LoanStartDate),"")</f>
        <v/>
      </c>
      <c r="D31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10" s="32" t="str">
        <f>IF(PaymentSchedule434[[#This Row],[PMT NO]]&lt;&gt;"",ScheduledPayment,"")</f>
        <v/>
      </c>
      <c r="F31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1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10" s="32" t="str">
        <f>IF(PaymentSchedule434[[#This Row],[PMT NO]]&lt;&gt;"",PaymentSchedule434[[#This Row],[TOTAL PAYMENT]]-PaymentSchedule434[[#This Row],[INTEREST]],"")</f>
        <v/>
      </c>
      <c r="I310" s="32" t="str">
        <f>IF(PaymentSchedule434[[#This Row],[PMT NO]]&lt;&gt;"",PaymentSchedule434[[#This Row],[BEGINNING BALANCE]]*(InterestRate/PaymentsPerYear),"")</f>
        <v/>
      </c>
      <c r="J31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10" s="32" t="str">
        <f>IF(PaymentSchedule434[[#This Row],[PMT NO]]&lt;&gt;"",SUM(INDEX(PaymentSchedule434[INTEREST],1,1):PaymentSchedule434[[#This Row],[INTEREST]]),"")</f>
        <v/>
      </c>
    </row>
    <row r="311" spans="2:11" x14ac:dyDescent="0.3">
      <c r="B311" s="30" t="str">
        <f>IF(LoanIsGood,IF(ROW()-ROW(PaymentSchedule434[[#Headers],[PMT NO]])&gt;ScheduledNumberOfPayments,"",ROW()-ROW(PaymentSchedule434[[#Headers],[PMT NO]])),"")</f>
        <v/>
      </c>
      <c r="C311" s="31" t="str">
        <f>IF(PaymentSchedule434[[#This Row],[PMT NO]]&lt;&gt;"",EOMONTH(LoanStartDate,ROW(PaymentSchedule434[[#This Row],[PMT NO]])-ROW(PaymentSchedule434[[#Headers],[PMT NO]])-2)+DAY(LoanStartDate),"")</f>
        <v/>
      </c>
      <c r="D31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11" s="32" t="str">
        <f>IF(PaymentSchedule434[[#This Row],[PMT NO]]&lt;&gt;"",ScheduledPayment,"")</f>
        <v/>
      </c>
      <c r="F31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1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11" s="32" t="str">
        <f>IF(PaymentSchedule434[[#This Row],[PMT NO]]&lt;&gt;"",PaymentSchedule434[[#This Row],[TOTAL PAYMENT]]-PaymentSchedule434[[#This Row],[INTEREST]],"")</f>
        <v/>
      </c>
      <c r="I311" s="32" t="str">
        <f>IF(PaymentSchedule434[[#This Row],[PMT NO]]&lt;&gt;"",PaymentSchedule434[[#This Row],[BEGINNING BALANCE]]*(InterestRate/PaymentsPerYear),"")</f>
        <v/>
      </c>
      <c r="J31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11" s="32" t="str">
        <f>IF(PaymentSchedule434[[#This Row],[PMT NO]]&lt;&gt;"",SUM(INDEX(PaymentSchedule434[INTEREST],1,1):PaymentSchedule434[[#This Row],[INTEREST]]),"")</f>
        <v/>
      </c>
    </row>
    <row r="312" spans="2:11" x14ac:dyDescent="0.3">
      <c r="B312" s="30" t="str">
        <f>IF(LoanIsGood,IF(ROW()-ROW(PaymentSchedule434[[#Headers],[PMT NO]])&gt;ScheduledNumberOfPayments,"",ROW()-ROW(PaymentSchedule434[[#Headers],[PMT NO]])),"")</f>
        <v/>
      </c>
      <c r="C312" s="31" t="str">
        <f>IF(PaymentSchedule434[[#This Row],[PMT NO]]&lt;&gt;"",EOMONTH(LoanStartDate,ROW(PaymentSchedule434[[#This Row],[PMT NO]])-ROW(PaymentSchedule434[[#Headers],[PMT NO]])-2)+DAY(LoanStartDate),"")</f>
        <v/>
      </c>
      <c r="D31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12" s="32" t="str">
        <f>IF(PaymentSchedule434[[#This Row],[PMT NO]]&lt;&gt;"",ScheduledPayment,"")</f>
        <v/>
      </c>
      <c r="F31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1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12" s="32" t="str">
        <f>IF(PaymentSchedule434[[#This Row],[PMT NO]]&lt;&gt;"",PaymentSchedule434[[#This Row],[TOTAL PAYMENT]]-PaymentSchedule434[[#This Row],[INTEREST]],"")</f>
        <v/>
      </c>
      <c r="I312" s="32" t="str">
        <f>IF(PaymentSchedule434[[#This Row],[PMT NO]]&lt;&gt;"",PaymentSchedule434[[#This Row],[BEGINNING BALANCE]]*(InterestRate/PaymentsPerYear),"")</f>
        <v/>
      </c>
      <c r="J31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12" s="32" t="str">
        <f>IF(PaymentSchedule434[[#This Row],[PMT NO]]&lt;&gt;"",SUM(INDEX(PaymentSchedule434[INTEREST],1,1):PaymentSchedule434[[#This Row],[INTEREST]]),"")</f>
        <v/>
      </c>
    </row>
    <row r="313" spans="2:11" x14ac:dyDescent="0.3">
      <c r="B313" s="30" t="str">
        <f>IF(LoanIsGood,IF(ROW()-ROW(PaymentSchedule434[[#Headers],[PMT NO]])&gt;ScheduledNumberOfPayments,"",ROW()-ROW(PaymentSchedule434[[#Headers],[PMT NO]])),"")</f>
        <v/>
      </c>
      <c r="C313" s="31" t="str">
        <f>IF(PaymentSchedule434[[#This Row],[PMT NO]]&lt;&gt;"",EOMONTH(LoanStartDate,ROW(PaymentSchedule434[[#This Row],[PMT NO]])-ROW(PaymentSchedule434[[#Headers],[PMT NO]])-2)+DAY(LoanStartDate),"")</f>
        <v/>
      </c>
      <c r="D31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13" s="32" t="str">
        <f>IF(PaymentSchedule434[[#This Row],[PMT NO]]&lt;&gt;"",ScheduledPayment,"")</f>
        <v/>
      </c>
      <c r="F31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1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13" s="32" t="str">
        <f>IF(PaymentSchedule434[[#This Row],[PMT NO]]&lt;&gt;"",PaymentSchedule434[[#This Row],[TOTAL PAYMENT]]-PaymentSchedule434[[#This Row],[INTEREST]],"")</f>
        <v/>
      </c>
      <c r="I313" s="32" t="str">
        <f>IF(PaymentSchedule434[[#This Row],[PMT NO]]&lt;&gt;"",PaymentSchedule434[[#This Row],[BEGINNING BALANCE]]*(InterestRate/PaymentsPerYear),"")</f>
        <v/>
      </c>
      <c r="J31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13" s="32" t="str">
        <f>IF(PaymentSchedule434[[#This Row],[PMT NO]]&lt;&gt;"",SUM(INDEX(PaymentSchedule434[INTEREST],1,1):PaymentSchedule434[[#This Row],[INTEREST]]),"")</f>
        <v/>
      </c>
    </row>
    <row r="314" spans="2:11" x14ac:dyDescent="0.3">
      <c r="B314" s="30" t="str">
        <f>IF(LoanIsGood,IF(ROW()-ROW(PaymentSchedule434[[#Headers],[PMT NO]])&gt;ScheduledNumberOfPayments,"",ROW()-ROW(PaymentSchedule434[[#Headers],[PMT NO]])),"")</f>
        <v/>
      </c>
      <c r="C314" s="31" t="str">
        <f>IF(PaymentSchedule434[[#This Row],[PMT NO]]&lt;&gt;"",EOMONTH(LoanStartDate,ROW(PaymentSchedule434[[#This Row],[PMT NO]])-ROW(PaymentSchedule434[[#Headers],[PMT NO]])-2)+DAY(LoanStartDate),"")</f>
        <v/>
      </c>
      <c r="D31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14" s="32" t="str">
        <f>IF(PaymentSchedule434[[#This Row],[PMT NO]]&lt;&gt;"",ScheduledPayment,"")</f>
        <v/>
      </c>
      <c r="F31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1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14" s="32" t="str">
        <f>IF(PaymentSchedule434[[#This Row],[PMT NO]]&lt;&gt;"",PaymentSchedule434[[#This Row],[TOTAL PAYMENT]]-PaymentSchedule434[[#This Row],[INTEREST]],"")</f>
        <v/>
      </c>
      <c r="I314" s="32" t="str">
        <f>IF(PaymentSchedule434[[#This Row],[PMT NO]]&lt;&gt;"",PaymentSchedule434[[#This Row],[BEGINNING BALANCE]]*(InterestRate/PaymentsPerYear),"")</f>
        <v/>
      </c>
      <c r="J31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14" s="32" t="str">
        <f>IF(PaymentSchedule434[[#This Row],[PMT NO]]&lt;&gt;"",SUM(INDEX(PaymentSchedule434[INTEREST],1,1):PaymentSchedule434[[#This Row],[INTEREST]]),"")</f>
        <v/>
      </c>
    </row>
    <row r="315" spans="2:11" x14ac:dyDescent="0.3">
      <c r="B315" s="30" t="str">
        <f>IF(LoanIsGood,IF(ROW()-ROW(PaymentSchedule434[[#Headers],[PMT NO]])&gt;ScheduledNumberOfPayments,"",ROW()-ROW(PaymentSchedule434[[#Headers],[PMT NO]])),"")</f>
        <v/>
      </c>
      <c r="C315" s="31" t="str">
        <f>IF(PaymentSchedule434[[#This Row],[PMT NO]]&lt;&gt;"",EOMONTH(LoanStartDate,ROW(PaymentSchedule434[[#This Row],[PMT NO]])-ROW(PaymentSchedule434[[#Headers],[PMT NO]])-2)+DAY(LoanStartDate),"")</f>
        <v/>
      </c>
      <c r="D31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15" s="32" t="str">
        <f>IF(PaymentSchedule434[[#This Row],[PMT NO]]&lt;&gt;"",ScheduledPayment,"")</f>
        <v/>
      </c>
      <c r="F31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1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15" s="32" t="str">
        <f>IF(PaymentSchedule434[[#This Row],[PMT NO]]&lt;&gt;"",PaymentSchedule434[[#This Row],[TOTAL PAYMENT]]-PaymentSchedule434[[#This Row],[INTEREST]],"")</f>
        <v/>
      </c>
      <c r="I315" s="32" t="str">
        <f>IF(PaymentSchedule434[[#This Row],[PMT NO]]&lt;&gt;"",PaymentSchedule434[[#This Row],[BEGINNING BALANCE]]*(InterestRate/PaymentsPerYear),"")</f>
        <v/>
      </c>
      <c r="J31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15" s="32" t="str">
        <f>IF(PaymentSchedule434[[#This Row],[PMT NO]]&lt;&gt;"",SUM(INDEX(PaymentSchedule434[INTEREST],1,1):PaymentSchedule434[[#This Row],[INTEREST]]),"")</f>
        <v/>
      </c>
    </row>
    <row r="316" spans="2:11" x14ac:dyDescent="0.3">
      <c r="B316" s="30" t="str">
        <f>IF(LoanIsGood,IF(ROW()-ROW(PaymentSchedule434[[#Headers],[PMT NO]])&gt;ScheduledNumberOfPayments,"",ROW()-ROW(PaymentSchedule434[[#Headers],[PMT NO]])),"")</f>
        <v/>
      </c>
      <c r="C316" s="31" t="str">
        <f>IF(PaymentSchedule434[[#This Row],[PMT NO]]&lt;&gt;"",EOMONTH(LoanStartDate,ROW(PaymentSchedule434[[#This Row],[PMT NO]])-ROW(PaymentSchedule434[[#Headers],[PMT NO]])-2)+DAY(LoanStartDate),"")</f>
        <v/>
      </c>
      <c r="D31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16" s="32" t="str">
        <f>IF(PaymentSchedule434[[#This Row],[PMT NO]]&lt;&gt;"",ScheduledPayment,"")</f>
        <v/>
      </c>
      <c r="F31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1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16" s="32" t="str">
        <f>IF(PaymentSchedule434[[#This Row],[PMT NO]]&lt;&gt;"",PaymentSchedule434[[#This Row],[TOTAL PAYMENT]]-PaymentSchedule434[[#This Row],[INTEREST]],"")</f>
        <v/>
      </c>
      <c r="I316" s="32" t="str">
        <f>IF(PaymentSchedule434[[#This Row],[PMT NO]]&lt;&gt;"",PaymentSchedule434[[#This Row],[BEGINNING BALANCE]]*(InterestRate/PaymentsPerYear),"")</f>
        <v/>
      </c>
      <c r="J31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16" s="32" t="str">
        <f>IF(PaymentSchedule434[[#This Row],[PMT NO]]&lt;&gt;"",SUM(INDEX(PaymentSchedule434[INTEREST],1,1):PaymentSchedule434[[#This Row],[INTEREST]]),"")</f>
        <v/>
      </c>
    </row>
    <row r="317" spans="2:11" x14ac:dyDescent="0.3">
      <c r="B317" s="30" t="str">
        <f>IF(LoanIsGood,IF(ROW()-ROW(PaymentSchedule434[[#Headers],[PMT NO]])&gt;ScheduledNumberOfPayments,"",ROW()-ROW(PaymentSchedule434[[#Headers],[PMT NO]])),"")</f>
        <v/>
      </c>
      <c r="C317" s="31" t="str">
        <f>IF(PaymentSchedule434[[#This Row],[PMT NO]]&lt;&gt;"",EOMONTH(LoanStartDate,ROW(PaymentSchedule434[[#This Row],[PMT NO]])-ROW(PaymentSchedule434[[#Headers],[PMT NO]])-2)+DAY(LoanStartDate),"")</f>
        <v/>
      </c>
      <c r="D31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17" s="32" t="str">
        <f>IF(PaymentSchedule434[[#This Row],[PMT NO]]&lt;&gt;"",ScheduledPayment,"")</f>
        <v/>
      </c>
      <c r="F31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1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17" s="32" t="str">
        <f>IF(PaymentSchedule434[[#This Row],[PMT NO]]&lt;&gt;"",PaymentSchedule434[[#This Row],[TOTAL PAYMENT]]-PaymentSchedule434[[#This Row],[INTEREST]],"")</f>
        <v/>
      </c>
      <c r="I317" s="32" t="str">
        <f>IF(PaymentSchedule434[[#This Row],[PMT NO]]&lt;&gt;"",PaymentSchedule434[[#This Row],[BEGINNING BALANCE]]*(InterestRate/PaymentsPerYear),"")</f>
        <v/>
      </c>
      <c r="J31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17" s="32" t="str">
        <f>IF(PaymentSchedule434[[#This Row],[PMT NO]]&lt;&gt;"",SUM(INDEX(PaymentSchedule434[INTEREST],1,1):PaymentSchedule434[[#This Row],[INTEREST]]),"")</f>
        <v/>
      </c>
    </row>
    <row r="318" spans="2:11" x14ac:dyDescent="0.3">
      <c r="B318" s="30" t="str">
        <f>IF(LoanIsGood,IF(ROW()-ROW(PaymentSchedule434[[#Headers],[PMT NO]])&gt;ScheduledNumberOfPayments,"",ROW()-ROW(PaymentSchedule434[[#Headers],[PMT NO]])),"")</f>
        <v/>
      </c>
      <c r="C318" s="31" t="str">
        <f>IF(PaymentSchedule434[[#This Row],[PMT NO]]&lt;&gt;"",EOMONTH(LoanStartDate,ROW(PaymentSchedule434[[#This Row],[PMT NO]])-ROW(PaymentSchedule434[[#Headers],[PMT NO]])-2)+DAY(LoanStartDate),"")</f>
        <v/>
      </c>
      <c r="D31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18" s="32" t="str">
        <f>IF(PaymentSchedule434[[#This Row],[PMT NO]]&lt;&gt;"",ScheduledPayment,"")</f>
        <v/>
      </c>
      <c r="F31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1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18" s="32" t="str">
        <f>IF(PaymentSchedule434[[#This Row],[PMT NO]]&lt;&gt;"",PaymentSchedule434[[#This Row],[TOTAL PAYMENT]]-PaymentSchedule434[[#This Row],[INTEREST]],"")</f>
        <v/>
      </c>
      <c r="I318" s="32" t="str">
        <f>IF(PaymentSchedule434[[#This Row],[PMT NO]]&lt;&gt;"",PaymentSchedule434[[#This Row],[BEGINNING BALANCE]]*(InterestRate/PaymentsPerYear),"")</f>
        <v/>
      </c>
      <c r="J31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18" s="32" t="str">
        <f>IF(PaymentSchedule434[[#This Row],[PMT NO]]&lt;&gt;"",SUM(INDEX(PaymentSchedule434[INTEREST],1,1):PaymentSchedule434[[#This Row],[INTEREST]]),"")</f>
        <v/>
      </c>
    </row>
    <row r="319" spans="2:11" x14ac:dyDescent="0.3">
      <c r="B319" s="30" t="str">
        <f>IF(LoanIsGood,IF(ROW()-ROW(PaymentSchedule434[[#Headers],[PMT NO]])&gt;ScheduledNumberOfPayments,"",ROW()-ROW(PaymentSchedule434[[#Headers],[PMT NO]])),"")</f>
        <v/>
      </c>
      <c r="C319" s="31" t="str">
        <f>IF(PaymentSchedule434[[#This Row],[PMT NO]]&lt;&gt;"",EOMONTH(LoanStartDate,ROW(PaymentSchedule434[[#This Row],[PMT NO]])-ROW(PaymentSchedule434[[#Headers],[PMT NO]])-2)+DAY(LoanStartDate),"")</f>
        <v/>
      </c>
      <c r="D31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19" s="32" t="str">
        <f>IF(PaymentSchedule434[[#This Row],[PMT NO]]&lt;&gt;"",ScheduledPayment,"")</f>
        <v/>
      </c>
      <c r="F31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1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19" s="32" t="str">
        <f>IF(PaymentSchedule434[[#This Row],[PMT NO]]&lt;&gt;"",PaymentSchedule434[[#This Row],[TOTAL PAYMENT]]-PaymentSchedule434[[#This Row],[INTEREST]],"")</f>
        <v/>
      </c>
      <c r="I319" s="32" t="str">
        <f>IF(PaymentSchedule434[[#This Row],[PMT NO]]&lt;&gt;"",PaymentSchedule434[[#This Row],[BEGINNING BALANCE]]*(InterestRate/PaymentsPerYear),"")</f>
        <v/>
      </c>
      <c r="J31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19" s="32" t="str">
        <f>IF(PaymentSchedule434[[#This Row],[PMT NO]]&lt;&gt;"",SUM(INDEX(PaymentSchedule434[INTEREST],1,1):PaymentSchedule434[[#This Row],[INTEREST]]),"")</f>
        <v/>
      </c>
    </row>
    <row r="320" spans="2:11" x14ac:dyDescent="0.3">
      <c r="B320" s="30" t="str">
        <f>IF(LoanIsGood,IF(ROW()-ROW(PaymentSchedule434[[#Headers],[PMT NO]])&gt;ScheduledNumberOfPayments,"",ROW()-ROW(PaymentSchedule434[[#Headers],[PMT NO]])),"")</f>
        <v/>
      </c>
      <c r="C320" s="31" t="str">
        <f>IF(PaymentSchedule434[[#This Row],[PMT NO]]&lt;&gt;"",EOMONTH(LoanStartDate,ROW(PaymentSchedule434[[#This Row],[PMT NO]])-ROW(PaymentSchedule434[[#Headers],[PMT NO]])-2)+DAY(LoanStartDate),"")</f>
        <v/>
      </c>
      <c r="D32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20" s="32" t="str">
        <f>IF(PaymentSchedule434[[#This Row],[PMT NO]]&lt;&gt;"",ScheduledPayment,"")</f>
        <v/>
      </c>
      <c r="F32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2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20" s="32" t="str">
        <f>IF(PaymentSchedule434[[#This Row],[PMT NO]]&lt;&gt;"",PaymentSchedule434[[#This Row],[TOTAL PAYMENT]]-PaymentSchedule434[[#This Row],[INTEREST]],"")</f>
        <v/>
      </c>
      <c r="I320" s="32" t="str">
        <f>IF(PaymentSchedule434[[#This Row],[PMT NO]]&lt;&gt;"",PaymentSchedule434[[#This Row],[BEGINNING BALANCE]]*(InterestRate/PaymentsPerYear),"")</f>
        <v/>
      </c>
      <c r="J32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20" s="32" t="str">
        <f>IF(PaymentSchedule434[[#This Row],[PMT NO]]&lt;&gt;"",SUM(INDEX(PaymentSchedule434[INTEREST],1,1):PaymentSchedule434[[#This Row],[INTEREST]]),"")</f>
        <v/>
      </c>
    </row>
    <row r="321" spans="2:11" x14ac:dyDescent="0.3">
      <c r="B321" s="30" t="str">
        <f>IF(LoanIsGood,IF(ROW()-ROW(PaymentSchedule434[[#Headers],[PMT NO]])&gt;ScheduledNumberOfPayments,"",ROW()-ROW(PaymentSchedule434[[#Headers],[PMT NO]])),"")</f>
        <v/>
      </c>
      <c r="C321" s="31" t="str">
        <f>IF(PaymentSchedule434[[#This Row],[PMT NO]]&lt;&gt;"",EOMONTH(LoanStartDate,ROW(PaymentSchedule434[[#This Row],[PMT NO]])-ROW(PaymentSchedule434[[#Headers],[PMT NO]])-2)+DAY(LoanStartDate),"")</f>
        <v/>
      </c>
      <c r="D32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21" s="32" t="str">
        <f>IF(PaymentSchedule434[[#This Row],[PMT NO]]&lt;&gt;"",ScheduledPayment,"")</f>
        <v/>
      </c>
      <c r="F32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2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21" s="32" t="str">
        <f>IF(PaymentSchedule434[[#This Row],[PMT NO]]&lt;&gt;"",PaymentSchedule434[[#This Row],[TOTAL PAYMENT]]-PaymentSchedule434[[#This Row],[INTEREST]],"")</f>
        <v/>
      </c>
      <c r="I321" s="32" t="str">
        <f>IF(PaymentSchedule434[[#This Row],[PMT NO]]&lt;&gt;"",PaymentSchedule434[[#This Row],[BEGINNING BALANCE]]*(InterestRate/PaymentsPerYear),"")</f>
        <v/>
      </c>
      <c r="J32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21" s="32" t="str">
        <f>IF(PaymentSchedule434[[#This Row],[PMT NO]]&lt;&gt;"",SUM(INDEX(PaymentSchedule434[INTEREST],1,1):PaymentSchedule434[[#This Row],[INTEREST]]),"")</f>
        <v/>
      </c>
    </row>
    <row r="322" spans="2:11" x14ac:dyDescent="0.3">
      <c r="B322" s="30" t="str">
        <f>IF(LoanIsGood,IF(ROW()-ROW(PaymentSchedule434[[#Headers],[PMT NO]])&gt;ScheduledNumberOfPayments,"",ROW()-ROW(PaymentSchedule434[[#Headers],[PMT NO]])),"")</f>
        <v/>
      </c>
      <c r="C322" s="31" t="str">
        <f>IF(PaymentSchedule434[[#This Row],[PMT NO]]&lt;&gt;"",EOMONTH(LoanStartDate,ROW(PaymentSchedule434[[#This Row],[PMT NO]])-ROW(PaymentSchedule434[[#Headers],[PMT NO]])-2)+DAY(LoanStartDate),"")</f>
        <v/>
      </c>
      <c r="D32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22" s="32" t="str">
        <f>IF(PaymentSchedule434[[#This Row],[PMT NO]]&lt;&gt;"",ScheduledPayment,"")</f>
        <v/>
      </c>
      <c r="F32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2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22" s="32" t="str">
        <f>IF(PaymentSchedule434[[#This Row],[PMT NO]]&lt;&gt;"",PaymentSchedule434[[#This Row],[TOTAL PAYMENT]]-PaymentSchedule434[[#This Row],[INTEREST]],"")</f>
        <v/>
      </c>
      <c r="I322" s="32" t="str">
        <f>IF(PaymentSchedule434[[#This Row],[PMT NO]]&lt;&gt;"",PaymentSchedule434[[#This Row],[BEGINNING BALANCE]]*(InterestRate/PaymentsPerYear),"")</f>
        <v/>
      </c>
      <c r="J32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22" s="32" t="str">
        <f>IF(PaymentSchedule434[[#This Row],[PMT NO]]&lt;&gt;"",SUM(INDEX(PaymentSchedule434[INTEREST],1,1):PaymentSchedule434[[#This Row],[INTEREST]]),"")</f>
        <v/>
      </c>
    </row>
    <row r="323" spans="2:11" x14ac:dyDescent="0.3">
      <c r="B323" s="30" t="str">
        <f>IF(LoanIsGood,IF(ROW()-ROW(PaymentSchedule434[[#Headers],[PMT NO]])&gt;ScheduledNumberOfPayments,"",ROW()-ROW(PaymentSchedule434[[#Headers],[PMT NO]])),"")</f>
        <v/>
      </c>
      <c r="C323" s="31" t="str">
        <f>IF(PaymentSchedule434[[#This Row],[PMT NO]]&lt;&gt;"",EOMONTH(LoanStartDate,ROW(PaymentSchedule434[[#This Row],[PMT NO]])-ROW(PaymentSchedule434[[#Headers],[PMT NO]])-2)+DAY(LoanStartDate),"")</f>
        <v/>
      </c>
      <c r="D32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23" s="32" t="str">
        <f>IF(PaymentSchedule434[[#This Row],[PMT NO]]&lt;&gt;"",ScheduledPayment,"")</f>
        <v/>
      </c>
      <c r="F32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2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23" s="32" t="str">
        <f>IF(PaymentSchedule434[[#This Row],[PMT NO]]&lt;&gt;"",PaymentSchedule434[[#This Row],[TOTAL PAYMENT]]-PaymentSchedule434[[#This Row],[INTEREST]],"")</f>
        <v/>
      </c>
      <c r="I323" s="32" t="str">
        <f>IF(PaymentSchedule434[[#This Row],[PMT NO]]&lt;&gt;"",PaymentSchedule434[[#This Row],[BEGINNING BALANCE]]*(InterestRate/PaymentsPerYear),"")</f>
        <v/>
      </c>
      <c r="J32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23" s="32" t="str">
        <f>IF(PaymentSchedule434[[#This Row],[PMT NO]]&lt;&gt;"",SUM(INDEX(PaymentSchedule434[INTEREST],1,1):PaymentSchedule434[[#This Row],[INTEREST]]),"")</f>
        <v/>
      </c>
    </row>
    <row r="324" spans="2:11" x14ac:dyDescent="0.3">
      <c r="B324" s="30" t="str">
        <f>IF(LoanIsGood,IF(ROW()-ROW(PaymentSchedule434[[#Headers],[PMT NO]])&gt;ScheduledNumberOfPayments,"",ROW()-ROW(PaymentSchedule434[[#Headers],[PMT NO]])),"")</f>
        <v/>
      </c>
      <c r="C324" s="31" t="str">
        <f>IF(PaymentSchedule434[[#This Row],[PMT NO]]&lt;&gt;"",EOMONTH(LoanStartDate,ROW(PaymentSchedule434[[#This Row],[PMT NO]])-ROW(PaymentSchedule434[[#Headers],[PMT NO]])-2)+DAY(LoanStartDate),"")</f>
        <v/>
      </c>
      <c r="D32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24" s="32" t="str">
        <f>IF(PaymentSchedule434[[#This Row],[PMT NO]]&lt;&gt;"",ScheduledPayment,"")</f>
        <v/>
      </c>
      <c r="F32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2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24" s="32" t="str">
        <f>IF(PaymentSchedule434[[#This Row],[PMT NO]]&lt;&gt;"",PaymentSchedule434[[#This Row],[TOTAL PAYMENT]]-PaymentSchedule434[[#This Row],[INTEREST]],"")</f>
        <v/>
      </c>
      <c r="I324" s="32" t="str">
        <f>IF(PaymentSchedule434[[#This Row],[PMT NO]]&lt;&gt;"",PaymentSchedule434[[#This Row],[BEGINNING BALANCE]]*(InterestRate/PaymentsPerYear),"")</f>
        <v/>
      </c>
      <c r="J32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24" s="32" t="str">
        <f>IF(PaymentSchedule434[[#This Row],[PMT NO]]&lt;&gt;"",SUM(INDEX(PaymentSchedule434[INTEREST],1,1):PaymentSchedule434[[#This Row],[INTEREST]]),"")</f>
        <v/>
      </c>
    </row>
    <row r="325" spans="2:11" x14ac:dyDescent="0.3">
      <c r="B325" s="30" t="str">
        <f>IF(LoanIsGood,IF(ROW()-ROW(PaymentSchedule434[[#Headers],[PMT NO]])&gt;ScheduledNumberOfPayments,"",ROW()-ROW(PaymentSchedule434[[#Headers],[PMT NO]])),"")</f>
        <v/>
      </c>
      <c r="C325" s="31" t="str">
        <f>IF(PaymentSchedule434[[#This Row],[PMT NO]]&lt;&gt;"",EOMONTH(LoanStartDate,ROW(PaymentSchedule434[[#This Row],[PMT NO]])-ROW(PaymentSchedule434[[#Headers],[PMT NO]])-2)+DAY(LoanStartDate),"")</f>
        <v/>
      </c>
      <c r="D32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25" s="32" t="str">
        <f>IF(PaymentSchedule434[[#This Row],[PMT NO]]&lt;&gt;"",ScheduledPayment,"")</f>
        <v/>
      </c>
      <c r="F32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2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25" s="32" t="str">
        <f>IF(PaymentSchedule434[[#This Row],[PMT NO]]&lt;&gt;"",PaymentSchedule434[[#This Row],[TOTAL PAYMENT]]-PaymentSchedule434[[#This Row],[INTEREST]],"")</f>
        <v/>
      </c>
      <c r="I325" s="32" t="str">
        <f>IF(PaymentSchedule434[[#This Row],[PMT NO]]&lt;&gt;"",PaymentSchedule434[[#This Row],[BEGINNING BALANCE]]*(InterestRate/PaymentsPerYear),"")</f>
        <v/>
      </c>
      <c r="J32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25" s="32" t="str">
        <f>IF(PaymentSchedule434[[#This Row],[PMT NO]]&lt;&gt;"",SUM(INDEX(PaymentSchedule434[INTEREST],1,1):PaymentSchedule434[[#This Row],[INTEREST]]),"")</f>
        <v/>
      </c>
    </row>
    <row r="326" spans="2:11" x14ac:dyDescent="0.3">
      <c r="B326" s="30" t="str">
        <f>IF(LoanIsGood,IF(ROW()-ROW(PaymentSchedule434[[#Headers],[PMT NO]])&gt;ScheduledNumberOfPayments,"",ROW()-ROW(PaymentSchedule434[[#Headers],[PMT NO]])),"")</f>
        <v/>
      </c>
      <c r="C326" s="31" t="str">
        <f>IF(PaymentSchedule434[[#This Row],[PMT NO]]&lt;&gt;"",EOMONTH(LoanStartDate,ROW(PaymentSchedule434[[#This Row],[PMT NO]])-ROW(PaymentSchedule434[[#Headers],[PMT NO]])-2)+DAY(LoanStartDate),"")</f>
        <v/>
      </c>
      <c r="D32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26" s="32" t="str">
        <f>IF(PaymentSchedule434[[#This Row],[PMT NO]]&lt;&gt;"",ScheduledPayment,"")</f>
        <v/>
      </c>
      <c r="F32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2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26" s="32" t="str">
        <f>IF(PaymentSchedule434[[#This Row],[PMT NO]]&lt;&gt;"",PaymentSchedule434[[#This Row],[TOTAL PAYMENT]]-PaymentSchedule434[[#This Row],[INTEREST]],"")</f>
        <v/>
      </c>
      <c r="I326" s="32" t="str">
        <f>IF(PaymentSchedule434[[#This Row],[PMT NO]]&lt;&gt;"",PaymentSchedule434[[#This Row],[BEGINNING BALANCE]]*(InterestRate/PaymentsPerYear),"")</f>
        <v/>
      </c>
      <c r="J32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26" s="32" t="str">
        <f>IF(PaymentSchedule434[[#This Row],[PMT NO]]&lt;&gt;"",SUM(INDEX(PaymentSchedule434[INTEREST],1,1):PaymentSchedule434[[#This Row],[INTEREST]]),"")</f>
        <v/>
      </c>
    </row>
    <row r="327" spans="2:11" x14ac:dyDescent="0.3">
      <c r="B327" s="30" t="str">
        <f>IF(LoanIsGood,IF(ROW()-ROW(PaymentSchedule434[[#Headers],[PMT NO]])&gt;ScheduledNumberOfPayments,"",ROW()-ROW(PaymentSchedule434[[#Headers],[PMT NO]])),"")</f>
        <v/>
      </c>
      <c r="C327" s="31" t="str">
        <f>IF(PaymentSchedule434[[#This Row],[PMT NO]]&lt;&gt;"",EOMONTH(LoanStartDate,ROW(PaymentSchedule434[[#This Row],[PMT NO]])-ROW(PaymentSchedule434[[#Headers],[PMT NO]])-2)+DAY(LoanStartDate),"")</f>
        <v/>
      </c>
      <c r="D32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27" s="32" t="str">
        <f>IF(PaymentSchedule434[[#This Row],[PMT NO]]&lt;&gt;"",ScheduledPayment,"")</f>
        <v/>
      </c>
      <c r="F32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2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27" s="32" t="str">
        <f>IF(PaymentSchedule434[[#This Row],[PMT NO]]&lt;&gt;"",PaymentSchedule434[[#This Row],[TOTAL PAYMENT]]-PaymentSchedule434[[#This Row],[INTEREST]],"")</f>
        <v/>
      </c>
      <c r="I327" s="32" t="str">
        <f>IF(PaymentSchedule434[[#This Row],[PMT NO]]&lt;&gt;"",PaymentSchedule434[[#This Row],[BEGINNING BALANCE]]*(InterestRate/PaymentsPerYear),"")</f>
        <v/>
      </c>
      <c r="J32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27" s="32" t="str">
        <f>IF(PaymentSchedule434[[#This Row],[PMT NO]]&lt;&gt;"",SUM(INDEX(PaymentSchedule434[INTEREST],1,1):PaymentSchedule434[[#This Row],[INTEREST]]),"")</f>
        <v/>
      </c>
    </row>
    <row r="328" spans="2:11" x14ac:dyDescent="0.3">
      <c r="B328" s="30" t="str">
        <f>IF(LoanIsGood,IF(ROW()-ROW(PaymentSchedule434[[#Headers],[PMT NO]])&gt;ScheduledNumberOfPayments,"",ROW()-ROW(PaymentSchedule434[[#Headers],[PMT NO]])),"")</f>
        <v/>
      </c>
      <c r="C328" s="31" t="str">
        <f>IF(PaymentSchedule434[[#This Row],[PMT NO]]&lt;&gt;"",EOMONTH(LoanStartDate,ROW(PaymentSchedule434[[#This Row],[PMT NO]])-ROW(PaymentSchedule434[[#Headers],[PMT NO]])-2)+DAY(LoanStartDate),"")</f>
        <v/>
      </c>
      <c r="D32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28" s="32" t="str">
        <f>IF(PaymentSchedule434[[#This Row],[PMT NO]]&lt;&gt;"",ScheduledPayment,"")</f>
        <v/>
      </c>
      <c r="F32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2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28" s="32" t="str">
        <f>IF(PaymentSchedule434[[#This Row],[PMT NO]]&lt;&gt;"",PaymentSchedule434[[#This Row],[TOTAL PAYMENT]]-PaymentSchedule434[[#This Row],[INTEREST]],"")</f>
        <v/>
      </c>
      <c r="I328" s="32" t="str">
        <f>IF(PaymentSchedule434[[#This Row],[PMT NO]]&lt;&gt;"",PaymentSchedule434[[#This Row],[BEGINNING BALANCE]]*(InterestRate/PaymentsPerYear),"")</f>
        <v/>
      </c>
      <c r="J32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28" s="32" t="str">
        <f>IF(PaymentSchedule434[[#This Row],[PMT NO]]&lt;&gt;"",SUM(INDEX(PaymentSchedule434[INTEREST],1,1):PaymentSchedule434[[#This Row],[INTEREST]]),"")</f>
        <v/>
      </c>
    </row>
    <row r="329" spans="2:11" x14ac:dyDescent="0.3">
      <c r="B329" s="30" t="str">
        <f>IF(LoanIsGood,IF(ROW()-ROW(PaymentSchedule434[[#Headers],[PMT NO]])&gt;ScheduledNumberOfPayments,"",ROW()-ROW(PaymentSchedule434[[#Headers],[PMT NO]])),"")</f>
        <v/>
      </c>
      <c r="C329" s="31" t="str">
        <f>IF(PaymentSchedule434[[#This Row],[PMT NO]]&lt;&gt;"",EOMONTH(LoanStartDate,ROW(PaymentSchedule434[[#This Row],[PMT NO]])-ROW(PaymentSchedule434[[#Headers],[PMT NO]])-2)+DAY(LoanStartDate),"")</f>
        <v/>
      </c>
      <c r="D32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29" s="32" t="str">
        <f>IF(PaymentSchedule434[[#This Row],[PMT NO]]&lt;&gt;"",ScheduledPayment,"")</f>
        <v/>
      </c>
      <c r="F32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2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29" s="32" t="str">
        <f>IF(PaymentSchedule434[[#This Row],[PMT NO]]&lt;&gt;"",PaymentSchedule434[[#This Row],[TOTAL PAYMENT]]-PaymentSchedule434[[#This Row],[INTEREST]],"")</f>
        <v/>
      </c>
      <c r="I329" s="32" t="str">
        <f>IF(PaymentSchedule434[[#This Row],[PMT NO]]&lt;&gt;"",PaymentSchedule434[[#This Row],[BEGINNING BALANCE]]*(InterestRate/PaymentsPerYear),"")</f>
        <v/>
      </c>
      <c r="J32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29" s="32" t="str">
        <f>IF(PaymentSchedule434[[#This Row],[PMT NO]]&lt;&gt;"",SUM(INDEX(PaymentSchedule434[INTEREST],1,1):PaymentSchedule434[[#This Row],[INTEREST]]),"")</f>
        <v/>
      </c>
    </row>
    <row r="330" spans="2:11" x14ac:dyDescent="0.3">
      <c r="B330" s="30" t="str">
        <f>IF(LoanIsGood,IF(ROW()-ROW(PaymentSchedule434[[#Headers],[PMT NO]])&gt;ScheduledNumberOfPayments,"",ROW()-ROW(PaymentSchedule434[[#Headers],[PMT NO]])),"")</f>
        <v/>
      </c>
      <c r="C330" s="31" t="str">
        <f>IF(PaymentSchedule434[[#This Row],[PMT NO]]&lt;&gt;"",EOMONTH(LoanStartDate,ROW(PaymentSchedule434[[#This Row],[PMT NO]])-ROW(PaymentSchedule434[[#Headers],[PMT NO]])-2)+DAY(LoanStartDate),"")</f>
        <v/>
      </c>
      <c r="D33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30" s="32" t="str">
        <f>IF(PaymentSchedule434[[#This Row],[PMT NO]]&lt;&gt;"",ScheduledPayment,"")</f>
        <v/>
      </c>
      <c r="F33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3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30" s="32" t="str">
        <f>IF(PaymentSchedule434[[#This Row],[PMT NO]]&lt;&gt;"",PaymentSchedule434[[#This Row],[TOTAL PAYMENT]]-PaymentSchedule434[[#This Row],[INTEREST]],"")</f>
        <v/>
      </c>
      <c r="I330" s="32" t="str">
        <f>IF(PaymentSchedule434[[#This Row],[PMT NO]]&lt;&gt;"",PaymentSchedule434[[#This Row],[BEGINNING BALANCE]]*(InterestRate/PaymentsPerYear),"")</f>
        <v/>
      </c>
      <c r="J33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30" s="32" t="str">
        <f>IF(PaymentSchedule434[[#This Row],[PMT NO]]&lt;&gt;"",SUM(INDEX(PaymentSchedule434[INTEREST],1,1):PaymentSchedule434[[#This Row],[INTEREST]]),"")</f>
        <v/>
      </c>
    </row>
    <row r="331" spans="2:11" x14ac:dyDescent="0.3">
      <c r="B331" s="30" t="str">
        <f>IF(LoanIsGood,IF(ROW()-ROW(PaymentSchedule434[[#Headers],[PMT NO]])&gt;ScheduledNumberOfPayments,"",ROW()-ROW(PaymentSchedule434[[#Headers],[PMT NO]])),"")</f>
        <v/>
      </c>
      <c r="C331" s="31" t="str">
        <f>IF(PaymentSchedule434[[#This Row],[PMT NO]]&lt;&gt;"",EOMONTH(LoanStartDate,ROW(PaymentSchedule434[[#This Row],[PMT NO]])-ROW(PaymentSchedule434[[#Headers],[PMT NO]])-2)+DAY(LoanStartDate),"")</f>
        <v/>
      </c>
      <c r="D33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31" s="32" t="str">
        <f>IF(PaymentSchedule434[[#This Row],[PMT NO]]&lt;&gt;"",ScheduledPayment,"")</f>
        <v/>
      </c>
      <c r="F33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3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31" s="32" t="str">
        <f>IF(PaymentSchedule434[[#This Row],[PMT NO]]&lt;&gt;"",PaymentSchedule434[[#This Row],[TOTAL PAYMENT]]-PaymentSchedule434[[#This Row],[INTEREST]],"")</f>
        <v/>
      </c>
      <c r="I331" s="32" t="str">
        <f>IF(PaymentSchedule434[[#This Row],[PMT NO]]&lt;&gt;"",PaymentSchedule434[[#This Row],[BEGINNING BALANCE]]*(InterestRate/PaymentsPerYear),"")</f>
        <v/>
      </c>
      <c r="J33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31" s="32" t="str">
        <f>IF(PaymentSchedule434[[#This Row],[PMT NO]]&lt;&gt;"",SUM(INDEX(PaymentSchedule434[INTEREST],1,1):PaymentSchedule434[[#This Row],[INTEREST]]),"")</f>
        <v/>
      </c>
    </row>
    <row r="332" spans="2:11" x14ac:dyDescent="0.3">
      <c r="B332" s="30" t="str">
        <f>IF(LoanIsGood,IF(ROW()-ROW(PaymentSchedule434[[#Headers],[PMT NO]])&gt;ScheduledNumberOfPayments,"",ROW()-ROW(PaymentSchedule434[[#Headers],[PMT NO]])),"")</f>
        <v/>
      </c>
      <c r="C332" s="31" t="str">
        <f>IF(PaymentSchedule434[[#This Row],[PMT NO]]&lt;&gt;"",EOMONTH(LoanStartDate,ROW(PaymentSchedule434[[#This Row],[PMT NO]])-ROW(PaymentSchedule434[[#Headers],[PMT NO]])-2)+DAY(LoanStartDate),"")</f>
        <v/>
      </c>
      <c r="D33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32" s="32" t="str">
        <f>IF(PaymentSchedule434[[#This Row],[PMT NO]]&lt;&gt;"",ScheduledPayment,"")</f>
        <v/>
      </c>
      <c r="F33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3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32" s="32" t="str">
        <f>IF(PaymentSchedule434[[#This Row],[PMT NO]]&lt;&gt;"",PaymentSchedule434[[#This Row],[TOTAL PAYMENT]]-PaymentSchedule434[[#This Row],[INTEREST]],"")</f>
        <v/>
      </c>
      <c r="I332" s="32" t="str">
        <f>IF(PaymentSchedule434[[#This Row],[PMT NO]]&lt;&gt;"",PaymentSchedule434[[#This Row],[BEGINNING BALANCE]]*(InterestRate/PaymentsPerYear),"")</f>
        <v/>
      </c>
      <c r="J33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32" s="32" t="str">
        <f>IF(PaymentSchedule434[[#This Row],[PMT NO]]&lt;&gt;"",SUM(INDEX(PaymentSchedule434[INTEREST],1,1):PaymentSchedule434[[#This Row],[INTEREST]]),"")</f>
        <v/>
      </c>
    </row>
    <row r="333" spans="2:11" x14ac:dyDescent="0.3">
      <c r="B333" s="30" t="str">
        <f>IF(LoanIsGood,IF(ROW()-ROW(PaymentSchedule434[[#Headers],[PMT NO]])&gt;ScheduledNumberOfPayments,"",ROW()-ROW(PaymentSchedule434[[#Headers],[PMT NO]])),"")</f>
        <v/>
      </c>
      <c r="C333" s="31" t="str">
        <f>IF(PaymentSchedule434[[#This Row],[PMT NO]]&lt;&gt;"",EOMONTH(LoanStartDate,ROW(PaymentSchedule434[[#This Row],[PMT NO]])-ROW(PaymentSchedule434[[#Headers],[PMT NO]])-2)+DAY(LoanStartDate),"")</f>
        <v/>
      </c>
      <c r="D33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33" s="32" t="str">
        <f>IF(PaymentSchedule434[[#This Row],[PMT NO]]&lt;&gt;"",ScheduledPayment,"")</f>
        <v/>
      </c>
      <c r="F33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3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33" s="32" t="str">
        <f>IF(PaymentSchedule434[[#This Row],[PMT NO]]&lt;&gt;"",PaymentSchedule434[[#This Row],[TOTAL PAYMENT]]-PaymentSchedule434[[#This Row],[INTEREST]],"")</f>
        <v/>
      </c>
      <c r="I333" s="32" t="str">
        <f>IF(PaymentSchedule434[[#This Row],[PMT NO]]&lt;&gt;"",PaymentSchedule434[[#This Row],[BEGINNING BALANCE]]*(InterestRate/PaymentsPerYear),"")</f>
        <v/>
      </c>
      <c r="J33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33" s="32" t="str">
        <f>IF(PaymentSchedule434[[#This Row],[PMT NO]]&lt;&gt;"",SUM(INDEX(PaymentSchedule434[INTEREST],1,1):PaymentSchedule434[[#This Row],[INTEREST]]),"")</f>
        <v/>
      </c>
    </row>
    <row r="334" spans="2:11" x14ac:dyDescent="0.3">
      <c r="B334" s="30" t="str">
        <f>IF(LoanIsGood,IF(ROW()-ROW(PaymentSchedule434[[#Headers],[PMT NO]])&gt;ScheduledNumberOfPayments,"",ROW()-ROW(PaymentSchedule434[[#Headers],[PMT NO]])),"")</f>
        <v/>
      </c>
      <c r="C334" s="31" t="str">
        <f>IF(PaymentSchedule434[[#This Row],[PMT NO]]&lt;&gt;"",EOMONTH(LoanStartDate,ROW(PaymentSchedule434[[#This Row],[PMT NO]])-ROW(PaymentSchedule434[[#Headers],[PMT NO]])-2)+DAY(LoanStartDate),"")</f>
        <v/>
      </c>
      <c r="D33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34" s="32" t="str">
        <f>IF(PaymentSchedule434[[#This Row],[PMT NO]]&lt;&gt;"",ScheduledPayment,"")</f>
        <v/>
      </c>
      <c r="F33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3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34" s="32" t="str">
        <f>IF(PaymentSchedule434[[#This Row],[PMT NO]]&lt;&gt;"",PaymentSchedule434[[#This Row],[TOTAL PAYMENT]]-PaymentSchedule434[[#This Row],[INTEREST]],"")</f>
        <v/>
      </c>
      <c r="I334" s="32" t="str">
        <f>IF(PaymentSchedule434[[#This Row],[PMT NO]]&lt;&gt;"",PaymentSchedule434[[#This Row],[BEGINNING BALANCE]]*(InterestRate/PaymentsPerYear),"")</f>
        <v/>
      </c>
      <c r="J33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34" s="32" t="str">
        <f>IF(PaymentSchedule434[[#This Row],[PMT NO]]&lt;&gt;"",SUM(INDEX(PaymentSchedule434[INTEREST],1,1):PaymentSchedule434[[#This Row],[INTEREST]]),"")</f>
        <v/>
      </c>
    </row>
    <row r="335" spans="2:11" x14ac:dyDescent="0.3">
      <c r="B335" s="30" t="str">
        <f>IF(LoanIsGood,IF(ROW()-ROW(PaymentSchedule434[[#Headers],[PMT NO]])&gt;ScheduledNumberOfPayments,"",ROW()-ROW(PaymentSchedule434[[#Headers],[PMT NO]])),"")</f>
        <v/>
      </c>
      <c r="C335" s="31" t="str">
        <f>IF(PaymentSchedule434[[#This Row],[PMT NO]]&lt;&gt;"",EOMONTH(LoanStartDate,ROW(PaymentSchedule434[[#This Row],[PMT NO]])-ROW(PaymentSchedule434[[#Headers],[PMT NO]])-2)+DAY(LoanStartDate),"")</f>
        <v/>
      </c>
      <c r="D33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35" s="32" t="str">
        <f>IF(PaymentSchedule434[[#This Row],[PMT NO]]&lt;&gt;"",ScheduledPayment,"")</f>
        <v/>
      </c>
      <c r="F33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3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35" s="32" t="str">
        <f>IF(PaymentSchedule434[[#This Row],[PMT NO]]&lt;&gt;"",PaymentSchedule434[[#This Row],[TOTAL PAYMENT]]-PaymentSchedule434[[#This Row],[INTEREST]],"")</f>
        <v/>
      </c>
      <c r="I335" s="32" t="str">
        <f>IF(PaymentSchedule434[[#This Row],[PMT NO]]&lt;&gt;"",PaymentSchedule434[[#This Row],[BEGINNING BALANCE]]*(InterestRate/PaymentsPerYear),"")</f>
        <v/>
      </c>
      <c r="J33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35" s="32" t="str">
        <f>IF(PaymentSchedule434[[#This Row],[PMT NO]]&lt;&gt;"",SUM(INDEX(PaymentSchedule434[INTEREST],1,1):PaymentSchedule434[[#This Row],[INTEREST]]),"")</f>
        <v/>
      </c>
    </row>
    <row r="336" spans="2:11" x14ac:dyDescent="0.3">
      <c r="B336" s="30" t="str">
        <f>IF(LoanIsGood,IF(ROW()-ROW(PaymentSchedule434[[#Headers],[PMT NO]])&gt;ScheduledNumberOfPayments,"",ROW()-ROW(PaymentSchedule434[[#Headers],[PMT NO]])),"")</f>
        <v/>
      </c>
      <c r="C336" s="31" t="str">
        <f>IF(PaymentSchedule434[[#This Row],[PMT NO]]&lt;&gt;"",EOMONTH(LoanStartDate,ROW(PaymentSchedule434[[#This Row],[PMT NO]])-ROW(PaymentSchedule434[[#Headers],[PMT NO]])-2)+DAY(LoanStartDate),"")</f>
        <v/>
      </c>
      <c r="D33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36" s="32" t="str">
        <f>IF(PaymentSchedule434[[#This Row],[PMT NO]]&lt;&gt;"",ScheduledPayment,"")</f>
        <v/>
      </c>
      <c r="F33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3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36" s="32" t="str">
        <f>IF(PaymentSchedule434[[#This Row],[PMT NO]]&lt;&gt;"",PaymentSchedule434[[#This Row],[TOTAL PAYMENT]]-PaymentSchedule434[[#This Row],[INTEREST]],"")</f>
        <v/>
      </c>
      <c r="I336" s="32" t="str">
        <f>IF(PaymentSchedule434[[#This Row],[PMT NO]]&lt;&gt;"",PaymentSchedule434[[#This Row],[BEGINNING BALANCE]]*(InterestRate/PaymentsPerYear),"")</f>
        <v/>
      </c>
      <c r="J33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36" s="32" t="str">
        <f>IF(PaymentSchedule434[[#This Row],[PMT NO]]&lt;&gt;"",SUM(INDEX(PaymentSchedule434[INTEREST],1,1):PaymentSchedule434[[#This Row],[INTEREST]]),"")</f>
        <v/>
      </c>
    </row>
    <row r="337" spans="2:11" x14ac:dyDescent="0.3">
      <c r="B337" s="30" t="str">
        <f>IF(LoanIsGood,IF(ROW()-ROW(PaymentSchedule434[[#Headers],[PMT NO]])&gt;ScheduledNumberOfPayments,"",ROW()-ROW(PaymentSchedule434[[#Headers],[PMT NO]])),"")</f>
        <v/>
      </c>
      <c r="C337" s="31" t="str">
        <f>IF(PaymentSchedule434[[#This Row],[PMT NO]]&lt;&gt;"",EOMONTH(LoanStartDate,ROW(PaymentSchedule434[[#This Row],[PMT NO]])-ROW(PaymentSchedule434[[#Headers],[PMT NO]])-2)+DAY(LoanStartDate),"")</f>
        <v/>
      </c>
      <c r="D33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37" s="32" t="str">
        <f>IF(PaymentSchedule434[[#This Row],[PMT NO]]&lt;&gt;"",ScheduledPayment,"")</f>
        <v/>
      </c>
      <c r="F33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3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37" s="32" t="str">
        <f>IF(PaymentSchedule434[[#This Row],[PMT NO]]&lt;&gt;"",PaymentSchedule434[[#This Row],[TOTAL PAYMENT]]-PaymentSchedule434[[#This Row],[INTEREST]],"")</f>
        <v/>
      </c>
      <c r="I337" s="32" t="str">
        <f>IF(PaymentSchedule434[[#This Row],[PMT NO]]&lt;&gt;"",PaymentSchedule434[[#This Row],[BEGINNING BALANCE]]*(InterestRate/PaymentsPerYear),"")</f>
        <v/>
      </c>
      <c r="J33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37" s="32" t="str">
        <f>IF(PaymentSchedule434[[#This Row],[PMT NO]]&lt;&gt;"",SUM(INDEX(PaymentSchedule434[INTEREST],1,1):PaymentSchedule434[[#This Row],[INTEREST]]),"")</f>
        <v/>
      </c>
    </row>
    <row r="338" spans="2:11" x14ac:dyDescent="0.3">
      <c r="B338" s="30" t="str">
        <f>IF(LoanIsGood,IF(ROW()-ROW(PaymentSchedule434[[#Headers],[PMT NO]])&gt;ScheduledNumberOfPayments,"",ROW()-ROW(PaymentSchedule434[[#Headers],[PMT NO]])),"")</f>
        <v/>
      </c>
      <c r="C338" s="31" t="str">
        <f>IF(PaymentSchedule434[[#This Row],[PMT NO]]&lt;&gt;"",EOMONTH(LoanStartDate,ROW(PaymentSchedule434[[#This Row],[PMT NO]])-ROW(PaymentSchedule434[[#Headers],[PMT NO]])-2)+DAY(LoanStartDate),"")</f>
        <v/>
      </c>
      <c r="D33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38" s="32" t="str">
        <f>IF(PaymentSchedule434[[#This Row],[PMT NO]]&lt;&gt;"",ScheduledPayment,"")</f>
        <v/>
      </c>
      <c r="F33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3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38" s="32" t="str">
        <f>IF(PaymentSchedule434[[#This Row],[PMT NO]]&lt;&gt;"",PaymentSchedule434[[#This Row],[TOTAL PAYMENT]]-PaymentSchedule434[[#This Row],[INTEREST]],"")</f>
        <v/>
      </c>
      <c r="I338" s="32" t="str">
        <f>IF(PaymentSchedule434[[#This Row],[PMT NO]]&lt;&gt;"",PaymentSchedule434[[#This Row],[BEGINNING BALANCE]]*(InterestRate/PaymentsPerYear),"")</f>
        <v/>
      </c>
      <c r="J33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38" s="32" t="str">
        <f>IF(PaymentSchedule434[[#This Row],[PMT NO]]&lt;&gt;"",SUM(INDEX(PaymentSchedule434[INTEREST],1,1):PaymentSchedule434[[#This Row],[INTEREST]]),"")</f>
        <v/>
      </c>
    </row>
    <row r="339" spans="2:11" x14ac:dyDescent="0.3">
      <c r="B339" s="30" t="str">
        <f>IF(LoanIsGood,IF(ROW()-ROW(PaymentSchedule434[[#Headers],[PMT NO]])&gt;ScheduledNumberOfPayments,"",ROW()-ROW(PaymentSchedule434[[#Headers],[PMT NO]])),"")</f>
        <v/>
      </c>
      <c r="C339" s="31" t="str">
        <f>IF(PaymentSchedule434[[#This Row],[PMT NO]]&lt;&gt;"",EOMONTH(LoanStartDate,ROW(PaymentSchedule434[[#This Row],[PMT NO]])-ROW(PaymentSchedule434[[#Headers],[PMT NO]])-2)+DAY(LoanStartDate),"")</f>
        <v/>
      </c>
      <c r="D33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39" s="32" t="str">
        <f>IF(PaymentSchedule434[[#This Row],[PMT NO]]&lt;&gt;"",ScheduledPayment,"")</f>
        <v/>
      </c>
      <c r="F33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3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39" s="32" t="str">
        <f>IF(PaymentSchedule434[[#This Row],[PMT NO]]&lt;&gt;"",PaymentSchedule434[[#This Row],[TOTAL PAYMENT]]-PaymentSchedule434[[#This Row],[INTEREST]],"")</f>
        <v/>
      </c>
      <c r="I339" s="32" t="str">
        <f>IF(PaymentSchedule434[[#This Row],[PMT NO]]&lt;&gt;"",PaymentSchedule434[[#This Row],[BEGINNING BALANCE]]*(InterestRate/PaymentsPerYear),"")</f>
        <v/>
      </c>
      <c r="J33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39" s="32" t="str">
        <f>IF(PaymentSchedule434[[#This Row],[PMT NO]]&lt;&gt;"",SUM(INDEX(PaymentSchedule434[INTEREST],1,1):PaymentSchedule434[[#This Row],[INTEREST]]),"")</f>
        <v/>
      </c>
    </row>
    <row r="340" spans="2:11" x14ac:dyDescent="0.3">
      <c r="B340" s="30" t="str">
        <f>IF(LoanIsGood,IF(ROW()-ROW(PaymentSchedule434[[#Headers],[PMT NO]])&gt;ScheduledNumberOfPayments,"",ROW()-ROW(PaymentSchedule434[[#Headers],[PMT NO]])),"")</f>
        <v/>
      </c>
      <c r="C340" s="31" t="str">
        <f>IF(PaymentSchedule434[[#This Row],[PMT NO]]&lt;&gt;"",EOMONTH(LoanStartDate,ROW(PaymentSchedule434[[#This Row],[PMT NO]])-ROW(PaymentSchedule434[[#Headers],[PMT NO]])-2)+DAY(LoanStartDate),"")</f>
        <v/>
      </c>
      <c r="D34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40" s="32" t="str">
        <f>IF(PaymentSchedule434[[#This Row],[PMT NO]]&lt;&gt;"",ScheduledPayment,"")</f>
        <v/>
      </c>
      <c r="F34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4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40" s="32" t="str">
        <f>IF(PaymentSchedule434[[#This Row],[PMT NO]]&lt;&gt;"",PaymentSchedule434[[#This Row],[TOTAL PAYMENT]]-PaymentSchedule434[[#This Row],[INTEREST]],"")</f>
        <v/>
      </c>
      <c r="I340" s="32" t="str">
        <f>IF(PaymentSchedule434[[#This Row],[PMT NO]]&lt;&gt;"",PaymentSchedule434[[#This Row],[BEGINNING BALANCE]]*(InterestRate/PaymentsPerYear),"")</f>
        <v/>
      </c>
      <c r="J34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40" s="32" t="str">
        <f>IF(PaymentSchedule434[[#This Row],[PMT NO]]&lt;&gt;"",SUM(INDEX(PaymentSchedule434[INTEREST],1,1):PaymentSchedule434[[#This Row],[INTEREST]]),"")</f>
        <v/>
      </c>
    </row>
    <row r="341" spans="2:11" x14ac:dyDescent="0.3">
      <c r="B341" s="30" t="str">
        <f>IF(LoanIsGood,IF(ROW()-ROW(PaymentSchedule434[[#Headers],[PMT NO]])&gt;ScheduledNumberOfPayments,"",ROW()-ROW(PaymentSchedule434[[#Headers],[PMT NO]])),"")</f>
        <v/>
      </c>
      <c r="C341" s="31" t="str">
        <f>IF(PaymentSchedule434[[#This Row],[PMT NO]]&lt;&gt;"",EOMONTH(LoanStartDate,ROW(PaymentSchedule434[[#This Row],[PMT NO]])-ROW(PaymentSchedule434[[#Headers],[PMT NO]])-2)+DAY(LoanStartDate),"")</f>
        <v/>
      </c>
      <c r="D34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41" s="32" t="str">
        <f>IF(PaymentSchedule434[[#This Row],[PMT NO]]&lt;&gt;"",ScheduledPayment,"")</f>
        <v/>
      </c>
      <c r="F34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4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41" s="32" t="str">
        <f>IF(PaymentSchedule434[[#This Row],[PMT NO]]&lt;&gt;"",PaymentSchedule434[[#This Row],[TOTAL PAYMENT]]-PaymentSchedule434[[#This Row],[INTEREST]],"")</f>
        <v/>
      </c>
      <c r="I341" s="32" t="str">
        <f>IF(PaymentSchedule434[[#This Row],[PMT NO]]&lt;&gt;"",PaymentSchedule434[[#This Row],[BEGINNING BALANCE]]*(InterestRate/PaymentsPerYear),"")</f>
        <v/>
      </c>
      <c r="J34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41" s="32" t="str">
        <f>IF(PaymentSchedule434[[#This Row],[PMT NO]]&lt;&gt;"",SUM(INDEX(PaymentSchedule434[INTEREST],1,1):PaymentSchedule434[[#This Row],[INTEREST]]),"")</f>
        <v/>
      </c>
    </row>
    <row r="342" spans="2:11" x14ac:dyDescent="0.3">
      <c r="B342" s="30" t="str">
        <f>IF(LoanIsGood,IF(ROW()-ROW(PaymentSchedule434[[#Headers],[PMT NO]])&gt;ScheduledNumberOfPayments,"",ROW()-ROW(PaymentSchedule434[[#Headers],[PMT NO]])),"")</f>
        <v/>
      </c>
      <c r="C342" s="31" t="str">
        <f>IF(PaymentSchedule434[[#This Row],[PMT NO]]&lt;&gt;"",EOMONTH(LoanStartDate,ROW(PaymentSchedule434[[#This Row],[PMT NO]])-ROW(PaymentSchedule434[[#Headers],[PMT NO]])-2)+DAY(LoanStartDate),"")</f>
        <v/>
      </c>
      <c r="D34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42" s="32" t="str">
        <f>IF(PaymentSchedule434[[#This Row],[PMT NO]]&lt;&gt;"",ScheduledPayment,"")</f>
        <v/>
      </c>
      <c r="F34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4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42" s="32" t="str">
        <f>IF(PaymentSchedule434[[#This Row],[PMT NO]]&lt;&gt;"",PaymentSchedule434[[#This Row],[TOTAL PAYMENT]]-PaymentSchedule434[[#This Row],[INTEREST]],"")</f>
        <v/>
      </c>
      <c r="I342" s="32" t="str">
        <f>IF(PaymentSchedule434[[#This Row],[PMT NO]]&lt;&gt;"",PaymentSchedule434[[#This Row],[BEGINNING BALANCE]]*(InterestRate/PaymentsPerYear),"")</f>
        <v/>
      </c>
      <c r="J34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42" s="32" t="str">
        <f>IF(PaymentSchedule434[[#This Row],[PMT NO]]&lt;&gt;"",SUM(INDEX(PaymentSchedule434[INTEREST],1,1):PaymentSchedule434[[#This Row],[INTEREST]]),"")</f>
        <v/>
      </c>
    </row>
    <row r="343" spans="2:11" x14ac:dyDescent="0.3">
      <c r="B343" s="30" t="str">
        <f>IF(LoanIsGood,IF(ROW()-ROW(PaymentSchedule434[[#Headers],[PMT NO]])&gt;ScheduledNumberOfPayments,"",ROW()-ROW(PaymentSchedule434[[#Headers],[PMT NO]])),"")</f>
        <v/>
      </c>
      <c r="C343" s="31" t="str">
        <f>IF(PaymentSchedule434[[#This Row],[PMT NO]]&lt;&gt;"",EOMONTH(LoanStartDate,ROW(PaymentSchedule434[[#This Row],[PMT NO]])-ROW(PaymentSchedule434[[#Headers],[PMT NO]])-2)+DAY(LoanStartDate),"")</f>
        <v/>
      </c>
      <c r="D34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43" s="32" t="str">
        <f>IF(PaymentSchedule434[[#This Row],[PMT NO]]&lt;&gt;"",ScheduledPayment,"")</f>
        <v/>
      </c>
      <c r="F34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4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43" s="32" t="str">
        <f>IF(PaymentSchedule434[[#This Row],[PMT NO]]&lt;&gt;"",PaymentSchedule434[[#This Row],[TOTAL PAYMENT]]-PaymentSchedule434[[#This Row],[INTEREST]],"")</f>
        <v/>
      </c>
      <c r="I343" s="32" t="str">
        <f>IF(PaymentSchedule434[[#This Row],[PMT NO]]&lt;&gt;"",PaymentSchedule434[[#This Row],[BEGINNING BALANCE]]*(InterestRate/PaymentsPerYear),"")</f>
        <v/>
      </c>
      <c r="J34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43" s="32" t="str">
        <f>IF(PaymentSchedule434[[#This Row],[PMT NO]]&lt;&gt;"",SUM(INDEX(PaymentSchedule434[INTEREST],1,1):PaymentSchedule434[[#This Row],[INTEREST]]),"")</f>
        <v/>
      </c>
    </row>
    <row r="344" spans="2:11" x14ac:dyDescent="0.3">
      <c r="B344" s="30" t="str">
        <f>IF(LoanIsGood,IF(ROW()-ROW(PaymentSchedule434[[#Headers],[PMT NO]])&gt;ScheduledNumberOfPayments,"",ROW()-ROW(PaymentSchedule434[[#Headers],[PMT NO]])),"")</f>
        <v/>
      </c>
      <c r="C344" s="31" t="str">
        <f>IF(PaymentSchedule434[[#This Row],[PMT NO]]&lt;&gt;"",EOMONTH(LoanStartDate,ROW(PaymentSchedule434[[#This Row],[PMT NO]])-ROW(PaymentSchedule434[[#Headers],[PMT NO]])-2)+DAY(LoanStartDate),"")</f>
        <v/>
      </c>
      <c r="D34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44" s="32" t="str">
        <f>IF(PaymentSchedule434[[#This Row],[PMT NO]]&lt;&gt;"",ScheduledPayment,"")</f>
        <v/>
      </c>
      <c r="F34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4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44" s="32" t="str">
        <f>IF(PaymentSchedule434[[#This Row],[PMT NO]]&lt;&gt;"",PaymentSchedule434[[#This Row],[TOTAL PAYMENT]]-PaymentSchedule434[[#This Row],[INTEREST]],"")</f>
        <v/>
      </c>
      <c r="I344" s="32" t="str">
        <f>IF(PaymentSchedule434[[#This Row],[PMT NO]]&lt;&gt;"",PaymentSchedule434[[#This Row],[BEGINNING BALANCE]]*(InterestRate/PaymentsPerYear),"")</f>
        <v/>
      </c>
      <c r="J34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44" s="32" t="str">
        <f>IF(PaymentSchedule434[[#This Row],[PMT NO]]&lt;&gt;"",SUM(INDEX(PaymentSchedule434[INTEREST],1,1):PaymentSchedule434[[#This Row],[INTEREST]]),"")</f>
        <v/>
      </c>
    </row>
    <row r="345" spans="2:11" x14ac:dyDescent="0.3">
      <c r="B345" s="30" t="str">
        <f>IF(LoanIsGood,IF(ROW()-ROW(PaymentSchedule434[[#Headers],[PMT NO]])&gt;ScheduledNumberOfPayments,"",ROW()-ROW(PaymentSchedule434[[#Headers],[PMT NO]])),"")</f>
        <v/>
      </c>
      <c r="C345" s="31" t="str">
        <f>IF(PaymentSchedule434[[#This Row],[PMT NO]]&lt;&gt;"",EOMONTH(LoanStartDate,ROW(PaymentSchedule434[[#This Row],[PMT NO]])-ROW(PaymentSchedule434[[#Headers],[PMT NO]])-2)+DAY(LoanStartDate),"")</f>
        <v/>
      </c>
      <c r="D34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45" s="32" t="str">
        <f>IF(PaymentSchedule434[[#This Row],[PMT NO]]&lt;&gt;"",ScheduledPayment,"")</f>
        <v/>
      </c>
      <c r="F34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4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45" s="32" t="str">
        <f>IF(PaymentSchedule434[[#This Row],[PMT NO]]&lt;&gt;"",PaymentSchedule434[[#This Row],[TOTAL PAYMENT]]-PaymentSchedule434[[#This Row],[INTEREST]],"")</f>
        <v/>
      </c>
      <c r="I345" s="32" t="str">
        <f>IF(PaymentSchedule434[[#This Row],[PMT NO]]&lt;&gt;"",PaymentSchedule434[[#This Row],[BEGINNING BALANCE]]*(InterestRate/PaymentsPerYear),"")</f>
        <v/>
      </c>
      <c r="J34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45" s="32" t="str">
        <f>IF(PaymentSchedule434[[#This Row],[PMT NO]]&lt;&gt;"",SUM(INDEX(PaymentSchedule434[INTEREST],1,1):PaymentSchedule434[[#This Row],[INTEREST]]),"")</f>
        <v/>
      </c>
    </row>
    <row r="346" spans="2:11" x14ac:dyDescent="0.3">
      <c r="B346" s="30" t="str">
        <f>IF(LoanIsGood,IF(ROW()-ROW(PaymentSchedule434[[#Headers],[PMT NO]])&gt;ScheduledNumberOfPayments,"",ROW()-ROW(PaymentSchedule434[[#Headers],[PMT NO]])),"")</f>
        <v/>
      </c>
      <c r="C346" s="31" t="str">
        <f>IF(PaymentSchedule434[[#This Row],[PMT NO]]&lt;&gt;"",EOMONTH(LoanStartDate,ROW(PaymentSchedule434[[#This Row],[PMT NO]])-ROW(PaymentSchedule434[[#Headers],[PMT NO]])-2)+DAY(LoanStartDate),"")</f>
        <v/>
      </c>
      <c r="D34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46" s="32" t="str">
        <f>IF(PaymentSchedule434[[#This Row],[PMT NO]]&lt;&gt;"",ScheduledPayment,"")</f>
        <v/>
      </c>
      <c r="F34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4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46" s="32" t="str">
        <f>IF(PaymentSchedule434[[#This Row],[PMT NO]]&lt;&gt;"",PaymentSchedule434[[#This Row],[TOTAL PAYMENT]]-PaymentSchedule434[[#This Row],[INTEREST]],"")</f>
        <v/>
      </c>
      <c r="I346" s="32" t="str">
        <f>IF(PaymentSchedule434[[#This Row],[PMT NO]]&lt;&gt;"",PaymentSchedule434[[#This Row],[BEGINNING BALANCE]]*(InterestRate/PaymentsPerYear),"")</f>
        <v/>
      </c>
      <c r="J34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46" s="32" t="str">
        <f>IF(PaymentSchedule434[[#This Row],[PMT NO]]&lt;&gt;"",SUM(INDEX(PaymentSchedule434[INTEREST],1,1):PaymentSchedule434[[#This Row],[INTEREST]]),"")</f>
        <v/>
      </c>
    </row>
    <row r="347" spans="2:11" x14ac:dyDescent="0.3">
      <c r="B347" s="30" t="str">
        <f>IF(LoanIsGood,IF(ROW()-ROW(PaymentSchedule434[[#Headers],[PMT NO]])&gt;ScheduledNumberOfPayments,"",ROW()-ROW(PaymentSchedule434[[#Headers],[PMT NO]])),"")</f>
        <v/>
      </c>
      <c r="C347" s="31" t="str">
        <f>IF(PaymentSchedule434[[#This Row],[PMT NO]]&lt;&gt;"",EOMONTH(LoanStartDate,ROW(PaymentSchedule434[[#This Row],[PMT NO]])-ROW(PaymentSchedule434[[#Headers],[PMT NO]])-2)+DAY(LoanStartDate),"")</f>
        <v/>
      </c>
      <c r="D34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47" s="32" t="str">
        <f>IF(PaymentSchedule434[[#This Row],[PMT NO]]&lt;&gt;"",ScheduledPayment,"")</f>
        <v/>
      </c>
      <c r="F34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4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47" s="32" t="str">
        <f>IF(PaymentSchedule434[[#This Row],[PMT NO]]&lt;&gt;"",PaymentSchedule434[[#This Row],[TOTAL PAYMENT]]-PaymentSchedule434[[#This Row],[INTEREST]],"")</f>
        <v/>
      </c>
      <c r="I347" s="32" t="str">
        <f>IF(PaymentSchedule434[[#This Row],[PMT NO]]&lt;&gt;"",PaymentSchedule434[[#This Row],[BEGINNING BALANCE]]*(InterestRate/PaymentsPerYear),"")</f>
        <v/>
      </c>
      <c r="J34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47" s="32" t="str">
        <f>IF(PaymentSchedule434[[#This Row],[PMT NO]]&lt;&gt;"",SUM(INDEX(PaymentSchedule434[INTEREST],1,1):PaymentSchedule434[[#This Row],[INTEREST]]),"")</f>
        <v/>
      </c>
    </row>
    <row r="348" spans="2:11" x14ac:dyDescent="0.3">
      <c r="B348" s="30" t="str">
        <f>IF(LoanIsGood,IF(ROW()-ROW(PaymentSchedule434[[#Headers],[PMT NO]])&gt;ScheduledNumberOfPayments,"",ROW()-ROW(PaymentSchedule434[[#Headers],[PMT NO]])),"")</f>
        <v/>
      </c>
      <c r="C348" s="31" t="str">
        <f>IF(PaymentSchedule434[[#This Row],[PMT NO]]&lt;&gt;"",EOMONTH(LoanStartDate,ROW(PaymentSchedule434[[#This Row],[PMT NO]])-ROW(PaymentSchedule434[[#Headers],[PMT NO]])-2)+DAY(LoanStartDate),"")</f>
        <v/>
      </c>
      <c r="D34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48" s="32" t="str">
        <f>IF(PaymentSchedule434[[#This Row],[PMT NO]]&lt;&gt;"",ScheduledPayment,"")</f>
        <v/>
      </c>
      <c r="F34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4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48" s="32" t="str">
        <f>IF(PaymentSchedule434[[#This Row],[PMT NO]]&lt;&gt;"",PaymentSchedule434[[#This Row],[TOTAL PAYMENT]]-PaymentSchedule434[[#This Row],[INTEREST]],"")</f>
        <v/>
      </c>
      <c r="I348" s="32" t="str">
        <f>IF(PaymentSchedule434[[#This Row],[PMT NO]]&lt;&gt;"",PaymentSchedule434[[#This Row],[BEGINNING BALANCE]]*(InterestRate/PaymentsPerYear),"")</f>
        <v/>
      </c>
      <c r="J34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48" s="32" t="str">
        <f>IF(PaymentSchedule434[[#This Row],[PMT NO]]&lt;&gt;"",SUM(INDEX(PaymentSchedule434[INTEREST],1,1):PaymentSchedule434[[#This Row],[INTEREST]]),"")</f>
        <v/>
      </c>
    </row>
    <row r="349" spans="2:11" x14ac:dyDescent="0.3">
      <c r="B349" s="30" t="str">
        <f>IF(LoanIsGood,IF(ROW()-ROW(PaymentSchedule434[[#Headers],[PMT NO]])&gt;ScheduledNumberOfPayments,"",ROW()-ROW(PaymentSchedule434[[#Headers],[PMT NO]])),"")</f>
        <v/>
      </c>
      <c r="C349" s="31" t="str">
        <f>IF(PaymentSchedule434[[#This Row],[PMT NO]]&lt;&gt;"",EOMONTH(LoanStartDate,ROW(PaymentSchedule434[[#This Row],[PMT NO]])-ROW(PaymentSchedule434[[#Headers],[PMT NO]])-2)+DAY(LoanStartDate),"")</f>
        <v/>
      </c>
      <c r="D34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49" s="32" t="str">
        <f>IF(PaymentSchedule434[[#This Row],[PMT NO]]&lt;&gt;"",ScheduledPayment,"")</f>
        <v/>
      </c>
      <c r="F34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4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49" s="32" t="str">
        <f>IF(PaymentSchedule434[[#This Row],[PMT NO]]&lt;&gt;"",PaymentSchedule434[[#This Row],[TOTAL PAYMENT]]-PaymentSchedule434[[#This Row],[INTEREST]],"")</f>
        <v/>
      </c>
      <c r="I349" s="32" t="str">
        <f>IF(PaymentSchedule434[[#This Row],[PMT NO]]&lt;&gt;"",PaymentSchedule434[[#This Row],[BEGINNING BALANCE]]*(InterestRate/PaymentsPerYear),"")</f>
        <v/>
      </c>
      <c r="J34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49" s="32" t="str">
        <f>IF(PaymentSchedule434[[#This Row],[PMT NO]]&lt;&gt;"",SUM(INDEX(PaymentSchedule434[INTEREST],1,1):PaymentSchedule434[[#This Row],[INTEREST]]),"")</f>
        <v/>
      </c>
    </row>
    <row r="350" spans="2:11" x14ac:dyDescent="0.3">
      <c r="B350" s="30" t="str">
        <f>IF(LoanIsGood,IF(ROW()-ROW(PaymentSchedule434[[#Headers],[PMT NO]])&gt;ScheduledNumberOfPayments,"",ROW()-ROW(PaymentSchedule434[[#Headers],[PMT NO]])),"")</f>
        <v/>
      </c>
      <c r="C350" s="31" t="str">
        <f>IF(PaymentSchedule434[[#This Row],[PMT NO]]&lt;&gt;"",EOMONTH(LoanStartDate,ROW(PaymentSchedule434[[#This Row],[PMT NO]])-ROW(PaymentSchedule434[[#Headers],[PMT NO]])-2)+DAY(LoanStartDate),"")</f>
        <v/>
      </c>
      <c r="D35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50" s="32" t="str">
        <f>IF(PaymentSchedule434[[#This Row],[PMT NO]]&lt;&gt;"",ScheduledPayment,"")</f>
        <v/>
      </c>
      <c r="F35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5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50" s="32" t="str">
        <f>IF(PaymentSchedule434[[#This Row],[PMT NO]]&lt;&gt;"",PaymentSchedule434[[#This Row],[TOTAL PAYMENT]]-PaymentSchedule434[[#This Row],[INTEREST]],"")</f>
        <v/>
      </c>
      <c r="I350" s="32" t="str">
        <f>IF(PaymentSchedule434[[#This Row],[PMT NO]]&lt;&gt;"",PaymentSchedule434[[#This Row],[BEGINNING BALANCE]]*(InterestRate/PaymentsPerYear),"")</f>
        <v/>
      </c>
      <c r="J35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50" s="32" t="str">
        <f>IF(PaymentSchedule434[[#This Row],[PMT NO]]&lt;&gt;"",SUM(INDEX(PaymentSchedule434[INTEREST],1,1):PaymentSchedule434[[#This Row],[INTEREST]]),"")</f>
        <v/>
      </c>
    </row>
    <row r="351" spans="2:11" x14ac:dyDescent="0.3">
      <c r="B351" s="30" t="str">
        <f>IF(LoanIsGood,IF(ROW()-ROW(PaymentSchedule434[[#Headers],[PMT NO]])&gt;ScheduledNumberOfPayments,"",ROW()-ROW(PaymentSchedule434[[#Headers],[PMT NO]])),"")</f>
        <v/>
      </c>
      <c r="C351" s="31" t="str">
        <f>IF(PaymentSchedule434[[#This Row],[PMT NO]]&lt;&gt;"",EOMONTH(LoanStartDate,ROW(PaymentSchedule434[[#This Row],[PMT NO]])-ROW(PaymentSchedule434[[#Headers],[PMT NO]])-2)+DAY(LoanStartDate),"")</f>
        <v/>
      </c>
      <c r="D35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51" s="32" t="str">
        <f>IF(PaymentSchedule434[[#This Row],[PMT NO]]&lt;&gt;"",ScheduledPayment,"")</f>
        <v/>
      </c>
      <c r="F35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5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51" s="32" t="str">
        <f>IF(PaymentSchedule434[[#This Row],[PMT NO]]&lt;&gt;"",PaymentSchedule434[[#This Row],[TOTAL PAYMENT]]-PaymentSchedule434[[#This Row],[INTEREST]],"")</f>
        <v/>
      </c>
      <c r="I351" s="32" t="str">
        <f>IF(PaymentSchedule434[[#This Row],[PMT NO]]&lt;&gt;"",PaymentSchedule434[[#This Row],[BEGINNING BALANCE]]*(InterestRate/PaymentsPerYear),"")</f>
        <v/>
      </c>
      <c r="J35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51" s="32" t="str">
        <f>IF(PaymentSchedule434[[#This Row],[PMT NO]]&lt;&gt;"",SUM(INDEX(PaymentSchedule434[INTEREST],1,1):PaymentSchedule434[[#This Row],[INTEREST]]),"")</f>
        <v/>
      </c>
    </row>
    <row r="352" spans="2:11" x14ac:dyDescent="0.3">
      <c r="B352" s="30" t="str">
        <f>IF(LoanIsGood,IF(ROW()-ROW(PaymentSchedule434[[#Headers],[PMT NO]])&gt;ScheduledNumberOfPayments,"",ROW()-ROW(PaymentSchedule434[[#Headers],[PMT NO]])),"")</f>
        <v/>
      </c>
      <c r="C352" s="31" t="str">
        <f>IF(PaymentSchedule434[[#This Row],[PMT NO]]&lt;&gt;"",EOMONTH(LoanStartDate,ROW(PaymentSchedule434[[#This Row],[PMT NO]])-ROW(PaymentSchedule434[[#Headers],[PMT NO]])-2)+DAY(LoanStartDate),"")</f>
        <v/>
      </c>
      <c r="D35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52" s="32" t="str">
        <f>IF(PaymentSchedule434[[#This Row],[PMT NO]]&lt;&gt;"",ScheduledPayment,"")</f>
        <v/>
      </c>
      <c r="F35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5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52" s="32" t="str">
        <f>IF(PaymentSchedule434[[#This Row],[PMT NO]]&lt;&gt;"",PaymentSchedule434[[#This Row],[TOTAL PAYMENT]]-PaymentSchedule434[[#This Row],[INTEREST]],"")</f>
        <v/>
      </c>
      <c r="I352" s="32" t="str">
        <f>IF(PaymentSchedule434[[#This Row],[PMT NO]]&lt;&gt;"",PaymentSchedule434[[#This Row],[BEGINNING BALANCE]]*(InterestRate/PaymentsPerYear),"")</f>
        <v/>
      </c>
      <c r="J35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52" s="32" t="str">
        <f>IF(PaymentSchedule434[[#This Row],[PMT NO]]&lt;&gt;"",SUM(INDEX(PaymentSchedule434[INTEREST],1,1):PaymentSchedule434[[#This Row],[INTEREST]]),"")</f>
        <v/>
      </c>
    </row>
    <row r="353" spans="2:11" x14ac:dyDescent="0.3">
      <c r="B353" s="30" t="str">
        <f>IF(LoanIsGood,IF(ROW()-ROW(PaymentSchedule434[[#Headers],[PMT NO]])&gt;ScheduledNumberOfPayments,"",ROW()-ROW(PaymentSchedule434[[#Headers],[PMT NO]])),"")</f>
        <v/>
      </c>
      <c r="C353" s="31" t="str">
        <f>IF(PaymentSchedule434[[#This Row],[PMT NO]]&lt;&gt;"",EOMONTH(LoanStartDate,ROW(PaymentSchedule434[[#This Row],[PMT NO]])-ROW(PaymentSchedule434[[#Headers],[PMT NO]])-2)+DAY(LoanStartDate),"")</f>
        <v/>
      </c>
      <c r="D35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53" s="32" t="str">
        <f>IF(PaymentSchedule434[[#This Row],[PMT NO]]&lt;&gt;"",ScheduledPayment,"")</f>
        <v/>
      </c>
      <c r="F35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5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53" s="32" t="str">
        <f>IF(PaymentSchedule434[[#This Row],[PMT NO]]&lt;&gt;"",PaymentSchedule434[[#This Row],[TOTAL PAYMENT]]-PaymentSchedule434[[#This Row],[INTEREST]],"")</f>
        <v/>
      </c>
      <c r="I353" s="32" t="str">
        <f>IF(PaymentSchedule434[[#This Row],[PMT NO]]&lt;&gt;"",PaymentSchedule434[[#This Row],[BEGINNING BALANCE]]*(InterestRate/PaymentsPerYear),"")</f>
        <v/>
      </c>
      <c r="J35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53" s="32" t="str">
        <f>IF(PaymentSchedule434[[#This Row],[PMT NO]]&lt;&gt;"",SUM(INDEX(PaymentSchedule434[INTEREST],1,1):PaymentSchedule434[[#This Row],[INTEREST]]),"")</f>
        <v/>
      </c>
    </row>
    <row r="354" spans="2:11" x14ac:dyDescent="0.3">
      <c r="B354" s="30" t="str">
        <f>IF(LoanIsGood,IF(ROW()-ROW(PaymentSchedule434[[#Headers],[PMT NO]])&gt;ScheduledNumberOfPayments,"",ROW()-ROW(PaymentSchedule434[[#Headers],[PMT NO]])),"")</f>
        <v/>
      </c>
      <c r="C354" s="31" t="str">
        <f>IF(PaymentSchedule434[[#This Row],[PMT NO]]&lt;&gt;"",EOMONTH(LoanStartDate,ROW(PaymentSchedule434[[#This Row],[PMT NO]])-ROW(PaymentSchedule434[[#Headers],[PMT NO]])-2)+DAY(LoanStartDate),"")</f>
        <v/>
      </c>
      <c r="D35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54" s="32" t="str">
        <f>IF(PaymentSchedule434[[#This Row],[PMT NO]]&lt;&gt;"",ScheduledPayment,"")</f>
        <v/>
      </c>
      <c r="F35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5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54" s="32" t="str">
        <f>IF(PaymentSchedule434[[#This Row],[PMT NO]]&lt;&gt;"",PaymentSchedule434[[#This Row],[TOTAL PAYMENT]]-PaymentSchedule434[[#This Row],[INTEREST]],"")</f>
        <v/>
      </c>
      <c r="I354" s="32" t="str">
        <f>IF(PaymentSchedule434[[#This Row],[PMT NO]]&lt;&gt;"",PaymentSchedule434[[#This Row],[BEGINNING BALANCE]]*(InterestRate/PaymentsPerYear),"")</f>
        <v/>
      </c>
      <c r="J35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54" s="32" t="str">
        <f>IF(PaymentSchedule434[[#This Row],[PMT NO]]&lt;&gt;"",SUM(INDEX(PaymentSchedule434[INTEREST],1,1):PaymentSchedule434[[#This Row],[INTEREST]]),"")</f>
        <v/>
      </c>
    </row>
    <row r="355" spans="2:11" x14ac:dyDescent="0.3">
      <c r="B355" s="30" t="str">
        <f>IF(LoanIsGood,IF(ROW()-ROW(PaymentSchedule434[[#Headers],[PMT NO]])&gt;ScheduledNumberOfPayments,"",ROW()-ROW(PaymentSchedule434[[#Headers],[PMT NO]])),"")</f>
        <v/>
      </c>
      <c r="C355" s="31" t="str">
        <f>IF(PaymentSchedule434[[#This Row],[PMT NO]]&lt;&gt;"",EOMONTH(LoanStartDate,ROW(PaymentSchedule434[[#This Row],[PMT NO]])-ROW(PaymentSchedule434[[#Headers],[PMT NO]])-2)+DAY(LoanStartDate),"")</f>
        <v/>
      </c>
      <c r="D35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55" s="32" t="str">
        <f>IF(PaymentSchedule434[[#This Row],[PMT NO]]&lt;&gt;"",ScheduledPayment,"")</f>
        <v/>
      </c>
      <c r="F35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5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55" s="32" t="str">
        <f>IF(PaymentSchedule434[[#This Row],[PMT NO]]&lt;&gt;"",PaymentSchedule434[[#This Row],[TOTAL PAYMENT]]-PaymentSchedule434[[#This Row],[INTEREST]],"")</f>
        <v/>
      </c>
      <c r="I355" s="32" t="str">
        <f>IF(PaymentSchedule434[[#This Row],[PMT NO]]&lt;&gt;"",PaymentSchedule434[[#This Row],[BEGINNING BALANCE]]*(InterestRate/PaymentsPerYear),"")</f>
        <v/>
      </c>
      <c r="J35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55" s="32" t="str">
        <f>IF(PaymentSchedule434[[#This Row],[PMT NO]]&lt;&gt;"",SUM(INDEX(PaymentSchedule434[INTEREST],1,1):PaymentSchedule434[[#This Row],[INTEREST]]),"")</f>
        <v/>
      </c>
    </row>
    <row r="356" spans="2:11" x14ac:dyDescent="0.3">
      <c r="B356" s="30" t="str">
        <f>IF(LoanIsGood,IF(ROW()-ROW(PaymentSchedule434[[#Headers],[PMT NO]])&gt;ScheduledNumberOfPayments,"",ROW()-ROW(PaymentSchedule434[[#Headers],[PMT NO]])),"")</f>
        <v/>
      </c>
      <c r="C356" s="31" t="str">
        <f>IF(PaymentSchedule434[[#This Row],[PMT NO]]&lt;&gt;"",EOMONTH(LoanStartDate,ROW(PaymentSchedule434[[#This Row],[PMT NO]])-ROW(PaymentSchedule434[[#Headers],[PMT NO]])-2)+DAY(LoanStartDate),"")</f>
        <v/>
      </c>
      <c r="D35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56" s="32" t="str">
        <f>IF(PaymentSchedule434[[#This Row],[PMT NO]]&lt;&gt;"",ScheduledPayment,"")</f>
        <v/>
      </c>
      <c r="F35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5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56" s="32" t="str">
        <f>IF(PaymentSchedule434[[#This Row],[PMT NO]]&lt;&gt;"",PaymentSchedule434[[#This Row],[TOTAL PAYMENT]]-PaymentSchedule434[[#This Row],[INTEREST]],"")</f>
        <v/>
      </c>
      <c r="I356" s="32" t="str">
        <f>IF(PaymentSchedule434[[#This Row],[PMT NO]]&lt;&gt;"",PaymentSchedule434[[#This Row],[BEGINNING BALANCE]]*(InterestRate/PaymentsPerYear),"")</f>
        <v/>
      </c>
      <c r="J35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56" s="32" t="str">
        <f>IF(PaymentSchedule434[[#This Row],[PMT NO]]&lt;&gt;"",SUM(INDEX(PaymentSchedule434[INTEREST],1,1):PaymentSchedule434[[#This Row],[INTEREST]]),"")</f>
        <v/>
      </c>
    </row>
    <row r="357" spans="2:11" x14ac:dyDescent="0.3">
      <c r="B357" s="30" t="str">
        <f>IF(LoanIsGood,IF(ROW()-ROW(PaymentSchedule434[[#Headers],[PMT NO]])&gt;ScheduledNumberOfPayments,"",ROW()-ROW(PaymentSchedule434[[#Headers],[PMT NO]])),"")</f>
        <v/>
      </c>
      <c r="C357" s="31" t="str">
        <f>IF(PaymentSchedule434[[#This Row],[PMT NO]]&lt;&gt;"",EOMONTH(LoanStartDate,ROW(PaymentSchedule434[[#This Row],[PMT NO]])-ROW(PaymentSchedule434[[#Headers],[PMT NO]])-2)+DAY(LoanStartDate),"")</f>
        <v/>
      </c>
      <c r="D35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57" s="32" t="str">
        <f>IF(PaymentSchedule434[[#This Row],[PMT NO]]&lt;&gt;"",ScheduledPayment,"")</f>
        <v/>
      </c>
      <c r="F35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5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57" s="32" t="str">
        <f>IF(PaymentSchedule434[[#This Row],[PMT NO]]&lt;&gt;"",PaymentSchedule434[[#This Row],[TOTAL PAYMENT]]-PaymentSchedule434[[#This Row],[INTEREST]],"")</f>
        <v/>
      </c>
      <c r="I357" s="32" t="str">
        <f>IF(PaymentSchedule434[[#This Row],[PMT NO]]&lt;&gt;"",PaymentSchedule434[[#This Row],[BEGINNING BALANCE]]*(InterestRate/PaymentsPerYear),"")</f>
        <v/>
      </c>
      <c r="J35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57" s="32" t="str">
        <f>IF(PaymentSchedule434[[#This Row],[PMT NO]]&lt;&gt;"",SUM(INDEX(PaymentSchedule434[INTEREST],1,1):PaymentSchedule434[[#This Row],[INTEREST]]),"")</f>
        <v/>
      </c>
    </row>
    <row r="358" spans="2:11" x14ac:dyDescent="0.3">
      <c r="B358" s="30" t="str">
        <f>IF(LoanIsGood,IF(ROW()-ROW(PaymentSchedule434[[#Headers],[PMT NO]])&gt;ScheduledNumberOfPayments,"",ROW()-ROW(PaymentSchedule434[[#Headers],[PMT NO]])),"")</f>
        <v/>
      </c>
      <c r="C358" s="31" t="str">
        <f>IF(PaymentSchedule434[[#This Row],[PMT NO]]&lt;&gt;"",EOMONTH(LoanStartDate,ROW(PaymentSchedule434[[#This Row],[PMT NO]])-ROW(PaymentSchedule434[[#Headers],[PMT NO]])-2)+DAY(LoanStartDate),"")</f>
        <v/>
      </c>
      <c r="D35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58" s="32" t="str">
        <f>IF(PaymentSchedule434[[#This Row],[PMT NO]]&lt;&gt;"",ScheduledPayment,"")</f>
        <v/>
      </c>
      <c r="F35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5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58" s="32" t="str">
        <f>IF(PaymentSchedule434[[#This Row],[PMT NO]]&lt;&gt;"",PaymentSchedule434[[#This Row],[TOTAL PAYMENT]]-PaymentSchedule434[[#This Row],[INTEREST]],"")</f>
        <v/>
      </c>
      <c r="I358" s="32" t="str">
        <f>IF(PaymentSchedule434[[#This Row],[PMT NO]]&lt;&gt;"",PaymentSchedule434[[#This Row],[BEGINNING BALANCE]]*(InterestRate/PaymentsPerYear),"")</f>
        <v/>
      </c>
      <c r="J35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58" s="32" t="str">
        <f>IF(PaymentSchedule434[[#This Row],[PMT NO]]&lt;&gt;"",SUM(INDEX(PaymentSchedule434[INTEREST],1,1):PaymentSchedule434[[#This Row],[INTEREST]]),"")</f>
        <v/>
      </c>
    </row>
    <row r="359" spans="2:11" x14ac:dyDescent="0.3">
      <c r="B359" s="30" t="str">
        <f>IF(LoanIsGood,IF(ROW()-ROW(PaymentSchedule434[[#Headers],[PMT NO]])&gt;ScheduledNumberOfPayments,"",ROW()-ROW(PaymentSchedule434[[#Headers],[PMT NO]])),"")</f>
        <v/>
      </c>
      <c r="C359" s="31" t="str">
        <f>IF(PaymentSchedule434[[#This Row],[PMT NO]]&lt;&gt;"",EOMONTH(LoanStartDate,ROW(PaymentSchedule434[[#This Row],[PMT NO]])-ROW(PaymentSchedule434[[#Headers],[PMT NO]])-2)+DAY(LoanStartDate),"")</f>
        <v/>
      </c>
      <c r="D35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59" s="32" t="str">
        <f>IF(PaymentSchedule434[[#This Row],[PMT NO]]&lt;&gt;"",ScheduledPayment,"")</f>
        <v/>
      </c>
      <c r="F35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5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59" s="32" t="str">
        <f>IF(PaymentSchedule434[[#This Row],[PMT NO]]&lt;&gt;"",PaymentSchedule434[[#This Row],[TOTAL PAYMENT]]-PaymentSchedule434[[#This Row],[INTEREST]],"")</f>
        <v/>
      </c>
      <c r="I359" s="32" t="str">
        <f>IF(PaymentSchedule434[[#This Row],[PMT NO]]&lt;&gt;"",PaymentSchedule434[[#This Row],[BEGINNING BALANCE]]*(InterestRate/PaymentsPerYear),"")</f>
        <v/>
      </c>
      <c r="J35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59" s="32" t="str">
        <f>IF(PaymentSchedule434[[#This Row],[PMT NO]]&lt;&gt;"",SUM(INDEX(PaymentSchedule434[INTEREST],1,1):PaymentSchedule434[[#This Row],[INTEREST]]),"")</f>
        <v/>
      </c>
    </row>
    <row r="360" spans="2:11" x14ac:dyDescent="0.3">
      <c r="B360" s="30" t="str">
        <f>IF(LoanIsGood,IF(ROW()-ROW(PaymentSchedule434[[#Headers],[PMT NO]])&gt;ScheduledNumberOfPayments,"",ROW()-ROW(PaymentSchedule434[[#Headers],[PMT NO]])),"")</f>
        <v/>
      </c>
      <c r="C360" s="31" t="str">
        <f>IF(PaymentSchedule434[[#This Row],[PMT NO]]&lt;&gt;"",EOMONTH(LoanStartDate,ROW(PaymentSchedule434[[#This Row],[PMT NO]])-ROW(PaymentSchedule434[[#Headers],[PMT NO]])-2)+DAY(LoanStartDate),"")</f>
        <v/>
      </c>
      <c r="D36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60" s="32" t="str">
        <f>IF(PaymentSchedule434[[#This Row],[PMT NO]]&lt;&gt;"",ScheduledPayment,"")</f>
        <v/>
      </c>
      <c r="F36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6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60" s="32" t="str">
        <f>IF(PaymentSchedule434[[#This Row],[PMT NO]]&lt;&gt;"",PaymentSchedule434[[#This Row],[TOTAL PAYMENT]]-PaymentSchedule434[[#This Row],[INTEREST]],"")</f>
        <v/>
      </c>
      <c r="I360" s="32" t="str">
        <f>IF(PaymentSchedule434[[#This Row],[PMT NO]]&lt;&gt;"",PaymentSchedule434[[#This Row],[BEGINNING BALANCE]]*(InterestRate/PaymentsPerYear),"")</f>
        <v/>
      </c>
      <c r="J36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60" s="32" t="str">
        <f>IF(PaymentSchedule434[[#This Row],[PMT NO]]&lt;&gt;"",SUM(INDEX(PaymentSchedule434[INTEREST],1,1):PaymentSchedule434[[#This Row],[INTEREST]]),"")</f>
        <v/>
      </c>
    </row>
    <row r="361" spans="2:11" x14ac:dyDescent="0.3">
      <c r="B361" s="30" t="str">
        <f>IF(LoanIsGood,IF(ROW()-ROW(PaymentSchedule434[[#Headers],[PMT NO]])&gt;ScheduledNumberOfPayments,"",ROW()-ROW(PaymentSchedule434[[#Headers],[PMT NO]])),"")</f>
        <v/>
      </c>
      <c r="C361" s="31" t="str">
        <f>IF(PaymentSchedule434[[#This Row],[PMT NO]]&lt;&gt;"",EOMONTH(LoanStartDate,ROW(PaymentSchedule434[[#This Row],[PMT NO]])-ROW(PaymentSchedule434[[#Headers],[PMT NO]])-2)+DAY(LoanStartDate),"")</f>
        <v/>
      </c>
      <c r="D36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61" s="32" t="str">
        <f>IF(PaymentSchedule434[[#This Row],[PMT NO]]&lt;&gt;"",ScheduledPayment,"")</f>
        <v/>
      </c>
      <c r="F36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6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61" s="32" t="str">
        <f>IF(PaymentSchedule434[[#This Row],[PMT NO]]&lt;&gt;"",PaymentSchedule434[[#This Row],[TOTAL PAYMENT]]-PaymentSchedule434[[#This Row],[INTEREST]],"")</f>
        <v/>
      </c>
      <c r="I361" s="32" t="str">
        <f>IF(PaymentSchedule434[[#This Row],[PMT NO]]&lt;&gt;"",PaymentSchedule434[[#This Row],[BEGINNING BALANCE]]*(InterestRate/PaymentsPerYear),"")</f>
        <v/>
      </c>
      <c r="J36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61" s="32" t="str">
        <f>IF(PaymentSchedule434[[#This Row],[PMT NO]]&lt;&gt;"",SUM(INDEX(PaymentSchedule434[INTEREST],1,1):PaymentSchedule434[[#This Row],[INTEREST]]),"")</f>
        <v/>
      </c>
    </row>
    <row r="362" spans="2:11" x14ac:dyDescent="0.3">
      <c r="B362" s="30" t="str">
        <f>IF(LoanIsGood,IF(ROW()-ROW(PaymentSchedule434[[#Headers],[PMT NO]])&gt;ScheduledNumberOfPayments,"",ROW()-ROW(PaymentSchedule434[[#Headers],[PMT NO]])),"")</f>
        <v/>
      </c>
      <c r="C362" s="31" t="str">
        <f>IF(PaymentSchedule434[[#This Row],[PMT NO]]&lt;&gt;"",EOMONTH(LoanStartDate,ROW(PaymentSchedule434[[#This Row],[PMT NO]])-ROW(PaymentSchedule434[[#Headers],[PMT NO]])-2)+DAY(LoanStartDate),"")</f>
        <v/>
      </c>
      <c r="D36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62" s="32" t="str">
        <f>IF(PaymentSchedule434[[#This Row],[PMT NO]]&lt;&gt;"",ScheduledPayment,"")</f>
        <v/>
      </c>
      <c r="F36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6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62" s="32" t="str">
        <f>IF(PaymentSchedule434[[#This Row],[PMT NO]]&lt;&gt;"",PaymentSchedule434[[#This Row],[TOTAL PAYMENT]]-PaymentSchedule434[[#This Row],[INTEREST]],"")</f>
        <v/>
      </c>
      <c r="I362" s="32" t="str">
        <f>IF(PaymentSchedule434[[#This Row],[PMT NO]]&lt;&gt;"",PaymentSchedule434[[#This Row],[BEGINNING BALANCE]]*(InterestRate/PaymentsPerYear),"")</f>
        <v/>
      </c>
      <c r="J36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62" s="32" t="str">
        <f>IF(PaymentSchedule434[[#This Row],[PMT NO]]&lt;&gt;"",SUM(INDEX(PaymentSchedule434[INTEREST],1,1):PaymentSchedule434[[#This Row],[INTEREST]]),"")</f>
        <v/>
      </c>
    </row>
    <row r="363" spans="2:11" x14ac:dyDescent="0.3">
      <c r="B363" s="30" t="str">
        <f>IF(LoanIsGood,IF(ROW()-ROW(PaymentSchedule434[[#Headers],[PMT NO]])&gt;ScheduledNumberOfPayments,"",ROW()-ROW(PaymentSchedule434[[#Headers],[PMT NO]])),"")</f>
        <v/>
      </c>
      <c r="C363" s="31" t="str">
        <f>IF(PaymentSchedule434[[#This Row],[PMT NO]]&lt;&gt;"",EOMONTH(LoanStartDate,ROW(PaymentSchedule434[[#This Row],[PMT NO]])-ROW(PaymentSchedule434[[#Headers],[PMT NO]])-2)+DAY(LoanStartDate),"")</f>
        <v/>
      </c>
      <c r="D363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63" s="32" t="str">
        <f>IF(PaymentSchedule434[[#This Row],[PMT NO]]&lt;&gt;"",ScheduledPayment,"")</f>
        <v/>
      </c>
      <c r="F363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63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63" s="32" t="str">
        <f>IF(PaymentSchedule434[[#This Row],[PMT NO]]&lt;&gt;"",PaymentSchedule434[[#This Row],[TOTAL PAYMENT]]-PaymentSchedule434[[#This Row],[INTEREST]],"")</f>
        <v/>
      </c>
      <c r="I363" s="32" t="str">
        <f>IF(PaymentSchedule434[[#This Row],[PMT NO]]&lt;&gt;"",PaymentSchedule434[[#This Row],[BEGINNING BALANCE]]*(InterestRate/PaymentsPerYear),"")</f>
        <v/>
      </c>
      <c r="J363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63" s="32" t="str">
        <f>IF(PaymentSchedule434[[#This Row],[PMT NO]]&lt;&gt;"",SUM(INDEX(PaymentSchedule434[INTEREST],1,1):PaymentSchedule434[[#This Row],[INTEREST]]),"")</f>
        <v/>
      </c>
    </row>
    <row r="364" spans="2:11" x14ac:dyDescent="0.3">
      <c r="B364" s="30" t="str">
        <f>IF(LoanIsGood,IF(ROW()-ROW(PaymentSchedule434[[#Headers],[PMT NO]])&gt;ScheduledNumberOfPayments,"",ROW()-ROW(PaymentSchedule434[[#Headers],[PMT NO]])),"")</f>
        <v/>
      </c>
      <c r="C364" s="31" t="str">
        <f>IF(PaymentSchedule434[[#This Row],[PMT NO]]&lt;&gt;"",EOMONTH(LoanStartDate,ROW(PaymentSchedule434[[#This Row],[PMT NO]])-ROW(PaymentSchedule434[[#Headers],[PMT NO]])-2)+DAY(LoanStartDate),"")</f>
        <v/>
      </c>
      <c r="D364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64" s="32" t="str">
        <f>IF(PaymentSchedule434[[#This Row],[PMT NO]]&lt;&gt;"",ScheduledPayment,"")</f>
        <v/>
      </c>
      <c r="F364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64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64" s="32" t="str">
        <f>IF(PaymentSchedule434[[#This Row],[PMT NO]]&lt;&gt;"",PaymentSchedule434[[#This Row],[TOTAL PAYMENT]]-PaymentSchedule434[[#This Row],[INTEREST]],"")</f>
        <v/>
      </c>
      <c r="I364" s="32" t="str">
        <f>IF(PaymentSchedule434[[#This Row],[PMT NO]]&lt;&gt;"",PaymentSchedule434[[#This Row],[BEGINNING BALANCE]]*(InterestRate/PaymentsPerYear),"")</f>
        <v/>
      </c>
      <c r="J364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64" s="32" t="str">
        <f>IF(PaymentSchedule434[[#This Row],[PMT NO]]&lt;&gt;"",SUM(INDEX(PaymentSchedule434[INTEREST],1,1):PaymentSchedule434[[#This Row],[INTEREST]]),"")</f>
        <v/>
      </c>
    </row>
    <row r="365" spans="2:11" x14ac:dyDescent="0.3">
      <c r="B365" s="30" t="str">
        <f>IF(LoanIsGood,IF(ROW()-ROW(PaymentSchedule434[[#Headers],[PMT NO]])&gt;ScheduledNumberOfPayments,"",ROW()-ROW(PaymentSchedule434[[#Headers],[PMT NO]])),"")</f>
        <v/>
      </c>
      <c r="C365" s="31" t="str">
        <f>IF(PaymentSchedule434[[#This Row],[PMT NO]]&lt;&gt;"",EOMONTH(LoanStartDate,ROW(PaymentSchedule434[[#This Row],[PMT NO]])-ROW(PaymentSchedule434[[#Headers],[PMT NO]])-2)+DAY(LoanStartDate),"")</f>
        <v/>
      </c>
      <c r="D365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65" s="32" t="str">
        <f>IF(PaymentSchedule434[[#This Row],[PMT NO]]&lt;&gt;"",ScheduledPayment,"")</f>
        <v/>
      </c>
      <c r="F365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65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65" s="32" t="str">
        <f>IF(PaymentSchedule434[[#This Row],[PMT NO]]&lt;&gt;"",PaymentSchedule434[[#This Row],[TOTAL PAYMENT]]-PaymentSchedule434[[#This Row],[INTEREST]],"")</f>
        <v/>
      </c>
      <c r="I365" s="32" t="str">
        <f>IF(PaymentSchedule434[[#This Row],[PMT NO]]&lt;&gt;"",PaymentSchedule434[[#This Row],[BEGINNING BALANCE]]*(InterestRate/PaymentsPerYear),"")</f>
        <v/>
      </c>
      <c r="J365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65" s="32" t="str">
        <f>IF(PaymentSchedule434[[#This Row],[PMT NO]]&lt;&gt;"",SUM(INDEX(PaymentSchedule434[INTEREST],1,1):PaymentSchedule434[[#This Row],[INTEREST]]),"")</f>
        <v/>
      </c>
    </row>
    <row r="366" spans="2:11" x14ac:dyDescent="0.3">
      <c r="B366" s="30" t="str">
        <f>IF(LoanIsGood,IF(ROW()-ROW(PaymentSchedule434[[#Headers],[PMT NO]])&gt;ScheduledNumberOfPayments,"",ROW()-ROW(PaymentSchedule434[[#Headers],[PMT NO]])),"")</f>
        <v/>
      </c>
      <c r="C366" s="31" t="str">
        <f>IF(PaymentSchedule434[[#This Row],[PMT NO]]&lt;&gt;"",EOMONTH(LoanStartDate,ROW(PaymentSchedule434[[#This Row],[PMT NO]])-ROW(PaymentSchedule434[[#Headers],[PMT NO]])-2)+DAY(LoanStartDate),"")</f>
        <v/>
      </c>
      <c r="D366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66" s="32" t="str">
        <f>IF(PaymentSchedule434[[#This Row],[PMT NO]]&lt;&gt;"",ScheduledPayment,"")</f>
        <v/>
      </c>
      <c r="F366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66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66" s="32" t="str">
        <f>IF(PaymentSchedule434[[#This Row],[PMT NO]]&lt;&gt;"",PaymentSchedule434[[#This Row],[TOTAL PAYMENT]]-PaymentSchedule434[[#This Row],[INTEREST]],"")</f>
        <v/>
      </c>
      <c r="I366" s="32" t="str">
        <f>IF(PaymentSchedule434[[#This Row],[PMT NO]]&lt;&gt;"",PaymentSchedule434[[#This Row],[BEGINNING BALANCE]]*(InterestRate/PaymentsPerYear),"")</f>
        <v/>
      </c>
      <c r="J366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66" s="32" t="str">
        <f>IF(PaymentSchedule434[[#This Row],[PMT NO]]&lt;&gt;"",SUM(INDEX(PaymentSchedule434[INTEREST],1,1):PaymentSchedule434[[#This Row],[INTEREST]]),"")</f>
        <v/>
      </c>
    </row>
    <row r="367" spans="2:11" x14ac:dyDescent="0.3">
      <c r="B367" s="30" t="str">
        <f>IF(LoanIsGood,IF(ROW()-ROW(PaymentSchedule434[[#Headers],[PMT NO]])&gt;ScheduledNumberOfPayments,"",ROW()-ROW(PaymentSchedule434[[#Headers],[PMT NO]])),"")</f>
        <v/>
      </c>
      <c r="C367" s="31" t="str">
        <f>IF(PaymentSchedule434[[#This Row],[PMT NO]]&lt;&gt;"",EOMONTH(LoanStartDate,ROW(PaymentSchedule434[[#This Row],[PMT NO]])-ROW(PaymentSchedule434[[#Headers],[PMT NO]])-2)+DAY(LoanStartDate),"")</f>
        <v/>
      </c>
      <c r="D367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67" s="32" t="str">
        <f>IF(PaymentSchedule434[[#This Row],[PMT NO]]&lt;&gt;"",ScheduledPayment,"")</f>
        <v/>
      </c>
      <c r="F367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67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67" s="32" t="str">
        <f>IF(PaymentSchedule434[[#This Row],[PMT NO]]&lt;&gt;"",PaymentSchedule434[[#This Row],[TOTAL PAYMENT]]-PaymentSchedule434[[#This Row],[INTEREST]],"")</f>
        <v/>
      </c>
      <c r="I367" s="32" t="str">
        <f>IF(PaymentSchedule434[[#This Row],[PMT NO]]&lt;&gt;"",PaymentSchedule434[[#This Row],[BEGINNING BALANCE]]*(InterestRate/PaymentsPerYear),"")</f>
        <v/>
      </c>
      <c r="J367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67" s="32" t="str">
        <f>IF(PaymentSchedule434[[#This Row],[PMT NO]]&lt;&gt;"",SUM(INDEX(PaymentSchedule434[INTEREST],1,1):PaymentSchedule434[[#This Row],[INTEREST]]),"")</f>
        <v/>
      </c>
    </row>
    <row r="368" spans="2:11" x14ac:dyDescent="0.3">
      <c r="B368" s="30" t="str">
        <f>IF(LoanIsGood,IF(ROW()-ROW(PaymentSchedule434[[#Headers],[PMT NO]])&gt;ScheduledNumberOfPayments,"",ROW()-ROW(PaymentSchedule434[[#Headers],[PMT NO]])),"")</f>
        <v/>
      </c>
      <c r="C368" s="31" t="str">
        <f>IF(PaymentSchedule434[[#This Row],[PMT NO]]&lt;&gt;"",EOMONTH(LoanStartDate,ROW(PaymentSchedule434[[#This Row],[PMT NO]])-ROW(PaymentSchedule434[[#Headers],[PMT NO]])-2)+DAY(LoanStartDate),"")</f>
        <v/>
      </c>
      <c r="D368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68" s="32" t="str">
        <f>IF(PaymentSchedule434[[#This Row],[PMT NO]]&lt;&gt;"",ScheduledPayment,"")</f>
        <v/>
      </c>
      <c r="F368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68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68" s="32" t="str">
        <f>IF(PaymentSchedule434[[#This Row],[PMT NO]]&lt;&gt;"",PaymentSchedule434[[#This Row],[TOTAL PAYMENT]]-PaymentSchedule434[[#This Row],[INTEREST]],"")</f>
        <v/>
      </c>
      <c r="I368" s="32" t="str">
        <f>IF(PaymentSchedule434[[#This Row],[PMT NO]]&lt;&gt;"",PaymentSchedule434[[#This Row],[BEGINNING BALANCE]]*(InterestRate/PaymentsPerYear),"")</f>
        <v/>
      </c>
      <c r="J368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68" s="32" t="str">
        <f>IF(PaymentSchedule434[[#This Row],[PMT NO]]&lt;&gt;"",SUM(INDEX(PaymentSchedule434[INTEREST],1,1):PaymentSchedule434[[#This Row],[INTEREST]]),"")</f>
        <v/>
      </c>
    </row>
    <row r="369" spans="2:11" x14ac:dyDescent="0.3">
      <c r="B369" s="30" t="str">
        <f>IF(LoanIsGood,IF(ROW()-ROW(PaymentSchedule434[[#Headers],[PMT NO]])&gt;ScheduledNumberOfPayments,"",ROW()-ROW(PaymentSchedule434[[#Headers],[PMT NO]])),"")</f>
        <v/>
      </c>
      <c r="C369" s="31" t="str">
        <f>IF(PaymentSchedule434[[#This Row],[PMT NO]]&lt;&gt;"",EOMONTH(LoanStartDate,ROW(PaymentSchedule434[[#This Row],[PMT NO]])-ROW(PaymentSchedule434[[#Headers],[PMT NO]])-2)+DAY(LoanStartDate),"")</f>
        <v/>
      </c>
      <c r="D369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69" s="32" t="str">
        <f>IF(PaymentSchedule434[[#This Row],[PMT NO]]&lt;&gt;"",ScheduledPayment,"")</f>
        <v/>
      </c>
      <c r="F369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69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69" s="32" t="str">
        <f>IF(PaymentSchedule434[[#This Row],[PMT NO]]&lt;&gt;"",PaymentSchedule434[[#This Row],[TOTAL PAYMENT]]-PaymentSchedule434[[#This Row],[INTEREST]],"")</f>
        <v/>
      </c>
      <c r="I369" s="32" t="str">
        <f>IF(PaymentSchedule434[[#This Row],[PMT NO]]&lt;&gt;"",PaymentSchedule434[[#This Row],[BEGINNING BALANCE]]*(InterestRate/PaymentsPerYear),"")</f>
        <v/>
      </c>
      <c r="J369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69" s="32" t="str">
        <f>IF(PaymentSchedule434[[#This Row],[PMT NO]]&lt;&gt;"",SUM(INDEX(PaymentSchedule434[INTEREST],1,1):PaymentSchedule434[[#This Row],[INTEREST]]),"")</f>
        <v/>
      </c>
    </row>
    <row r="370" spans="2:11" x14ac:dyDescent="0.3">
      <c r="B370" s="30" t="str">
        <f>IF(LoanIsGood,IF(ROW()-ROW(PaymentSchedule434[[#Headers],[PMT NO]])&gt;ScheduledNumberOfPayments,"",ROW()-ROW(PaymentSchedule434[[#Headers],[PMT NO]])),"")</f>
        <v/>
      </c>
      <c r="C370" s="31" t="str">
        <f>IF(PaymentSchedule434[[#This Row],[PMT NO]]&lt;&gt;"",EOMONTH(LoanStartDate,ROW(PaymentSchedule434[[#This Row],[PMT NO]])-ROW(PaymentSchedule434[[#Headers],[PMT NO]])-2)+DAY(LoanStartDate),"")</f>
        <v/>
      </c>
      <c r="D370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70" s="32" t="str">
        <f>IF(PaymentSchedule434[[#This Row],[PMT NO]]&lt;&gt;"",ScheduledPayment,"")</f>
        <v/>
      </c>
      <c r="F370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70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70" s="32" t="str">
        <f>IF(PaymentSchedule434[[#This Row],[PMT NO]]&lt;&gt;"",PaymentSchedule434[[#This Row],[TOTAL PAYMENT]]-PaymentSchedule434[[#This Row],[INTEREST]],"")</f>
        <v/>
      </c>
      <c r="I370" s="32" t="str">
        <f>IF(PaymentSchedule434[[#This Row],[PMT NO]]&lt;&gt;"",PaymentSchedule434[[#This Row],[BEGINNING BALANCE]]*(InterestRate/PaymentsPerYear),"")</f>
        <v/>
      </c>
      <c r="J370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70" s="32" t="str">
        <f>IF(PaymentSchedule434[[#This Row],[PMT NO]]&lt;&gt;"",SUM(INDEX(PaymentSchedule434[INTEREST],1,1):PaymentSchedule434[[#This Row],[INTEREST]]),"")</f>
        <v/>
      </c>
    </row>
    <row r="371" spans="2:11" x14ac:dyDescent="0.3">
      <c r="B371" s="30" t="str">
        <f>IF(LoanIsGood,IF(ROW()-ROW(PaymentSchedule434[[#Headers],[PMT NO]])&gt;ScheduledNumberOfPayments,"",ROW()-ROW(PaymentSchedule434[[#Headers],[PMT NO]])),"")</f>
        <v/>
      </c>
      <c r="C371" s="31" t="str">
        <f>IF(PaymentSchedule434[[#This Row],[PMT NO]]&lt;&gt;"",EOMONTH(LoanStartDate,ROW(PaymentSchedule434[[#This Row],[PMT NO]])-ROW(PaymentSchedule434[[#Headers],[PMT NO]])-2)+DAY(LoanStartDate),"")</f>
        <v/>
      </c>
      <c r="D371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71" s="32" t="str">
        <f>IF(PaymentSchedule434[[#This Row],[PMT NO]]&lt;&gt;"",ScheduledPayment,"")</f>
        <v/>
      </c>
      <c r="F371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71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71" s="32" t="str">
        <f>IF(PaymentSchedule434[[#This Row],[PMT NO]]&lt;&gt;"",PaymentSchedule434[[#This Row],[TOTAL PAYMENT]]-PaymentSchedule434[[#This Row],[INTEREST]],"")</f>
        <v/>
      </c>
      <c r="I371" s="32" t="str">
        <f>IF(PaymentSchedule434[[#This Row],[PMT NO]]&lt;&gt;"",PaymentSchedule434[[#This Row],[BEGINNING BALANCE]]*(InterestRate/PaymentsPerYear),"")</f>
        <v/>
      </c>
      <c r="J371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71" s="32" t="str">
        <f>IF(PaymentSchedule434[[#This Row],[PMT NO]]&lt;&gt;"",SUM(INDEX(PaymentSchedule434[INTEREST],1,1):PaymentSchedule434[[#This Row],[INTEREST]]),"")</f>
        <v/>
      </c>
    </row>
    <row r="372" spans="2:11" x14ac:dyDescent="0.3">
      <c r="B372" s="30" t="str">
        <f>IF(LoanIsGood,IF(ROW()-ROW(PaymentSchedule434[[#Headers],[PMT NO]])&gt;ScheduledNumberOfPayments,"",ROW()-ROW(PaymentSchedule434[[#Headers],[PMT NO]])),"")</f>
        <v/>
      </c>
      <c r="C372" s="31" t="str">
        <f>IF(PaymentSchedule434[[#This Row],[PMT NO]]&lt;&gt;"",EOMONTH(LoanStartDate,ROW(PaymentSchedule434[[#This Row],[PMT NO]])-ROW(PaymentSchedule434[[#Headers],[PMT NO]])-2)+DAY(LoanStartDate),"")</f>
        <v/>
      </c>
      <c r="D372" s="32" t="str">
        <f>IF(PaymentSchedule434[[#This Row],[PMT NO]]&lt;&gt;"",IF(ROW()-ROW(PaymentSchedule434[[#Headers],[BEGINNING BALANCE]])=1,LoanAmount,INDEX(PaymentSchedule434[ENDING BALANCE],ROW()-ROW(PaymentSchedule434[[#Headers],[BEGINNING BALANCE]])-1)),"")</f>
        <v/>
      </c>
      <c r="E372" s="32" t="str">
        <f>IF(PaymentSchedule434[[#This Row],[PMT NO]]&lt;&gt;"",ScheduledPayment,"")</f>
        <v/>
      </c>
      <c r="F372" s="32" t="str">
        <f>IF(PaymentSchedule434[[#This Row],[PMT NO]]&lt;&gt;"",IF(PaymentSchedule434[[#This Row],[SCHEDULED PAYMENT]]+ExtraPayments&lt;PaymentSchedule434[[#This Row],[BEGINNING BALANCE]],ExtraPayments,IF(PaymentSchedule434[[#This Row],[BEGINNING BALANCE]]-PaymentSchedule434[[#This Row],[SCHEDULED PAYMENT]]&gt;0,PaymentSchedule434[[#This Row],[BEGINNING BALANCE]]-PaymentSchedule434[[#This Row],[SCHEDULED PAYMENT]],0)),"")</f>
        <v/>
      </c>
      <c r="G372" s="32" t="str">
        <f>IF(PaymentSchedule434[[#This Row],[PMT NO]]&lt;&gt;"",IF(PaymentSchedule434[[#This Row],[SCHEDULED PAYMENT]]+PaymentSchedule434[[#This Row],[EXTRA PAYMENT]]&lt;=PaymentSchedule434[[#This Row],[BEGINNING BALANCE]],PaymentSchedule434[[#This Row],[SCHEDULED PAYMENT]]+PaymentSchedule434[[#This Row],[EXTRA PAYMENT]],PaymentSchedule434[[#This Row],[BEGINNING BALANCE]]),"")</f>
        <v/>
      </c>
      <c r="H372" s="32" t="str">
        <f>IF(PaymentSchedule434[[#This Row],[PMT NO]]&lt;&gt;"",PaymentSchedule434[[#This Row],[TOTAL PAYMENT]]-PaymentSchedule434[[#This Row],[INTEREST]],"")</f>
        <v/>
      </c>
      <c r="I372" s="32" t="str">
        <f>IF(PaymentSchedule434[[#This Row],[PMT NO]]&lt;&gt;"",PaymentSchedule434[[#This Row],[BEGINNING BALANCE]]*(InterestRate/PaymentsPerYear),"")</f>
        <v/>
      </c>
      <c r="J372" s="32" t="str">
        <f>IF(PaymentSchedule434[[#This Row],[PMT NO]]&lt;&gt;"",IF(PaymentSchedule434[[#This Row],[SCHEDULED PAYMENT]]+PaymentSchedule434[[#This Row],[EXTRA PAYMENT]]&lt;=PaymentSchedule434[[#This Row],[BEGINNING BALANCE]],PaymentSchedule434[[#This Row],[BEGINNING BALANCE]]-PaymentSchedule434[[#This Row],[PRINCIPAL]],0),"")</f>
        <v/>
      </c>
      <c r="K372" s="32" t="str">
        <f>IF(PaymentSchedule434[[#This Row],[PMT NO]]&lt;&gt;"",SUM(INDEX(PaymentSchedule434[INTEREST],1,1):PaymentSchedule434[[#This Row],[INTEREST]]),"")</f>
        <v/>
      </c>
    </row>
  </sheetData>
  <mergeCells count="13">
    <mergeCell ref="J5:K5"/>
    <mergeCell ref="C6:D6"/>
    <mergeCell ref="G6:H6"/>
    <mergeCell ref="C7:D7"/>
    <mergeCell ref="G7:H7"/>
    <mergeCell ref="C10:D10"/>
    <mergeCell ref="H10:I10"/>
    <mergeCell ref="C3:D3"/>
    <mergeCell ref="G3:H3"/>
    <mergeCell ref="C4:D4"/>
    <mergeCell ref="G4:H4"/>
    <mergeCell ref="C5:D5"/>
    <mergeCell ref="G5:H5"/>
  </mergeCells>
  <conditionalFormatting sqref="B13:K372">
    <cfRule type="expression" dxfId="25" priority="1">
      <formula>($B13="")+(($D13=0)*($F13=0))</formula>
    </cfRule>
  </conditionalFormatting>
  <dataValidations count="26">
    <dataValidation allowBlank="1" showInputMessage="1" showErrorMessage="1" prompt="Enter the start date of loan in this cell" sqref="E7:E8" xr:uid="{C62E2415-592C-49E3-8805-1BEB5280C2D2}"/>
    <dataValidation allowBlank="1" showInputMessage="1" showErrorMessage="1" prompt="Automatically calculated total interest" sqref="I7:I8" xr:uid="{21208EFE-D06B-4EAA-B986-0FC08F170EF1}"/>
    <dataValidation allowBlank="1" showInputMessage="1" showErrorMessage="1" prompt="Enter Loan Amount in this cell" sqref="E3" xr:uid="{CD51855C-2F1A-40B7-B3D1-67623C7E1425}"/>
    <dataValidation allowBlank="1" showInputMessage="1" showErrorMessage="1" prompt="Enter interest rate to be paid annually in this cell" sqref="E4" xr:uid="{768669BC-D0D8-46C7-B886-3B36170D576F}"/>
    <dataValidation allowBlank="1" showInputMessage="1" showErrorMessage="1" prompt="Enter loan period in years in this cell" sqref="E5" xr:uid="{E76E887B-EF63-4B99-886D-A6E2B657D768}"/>
    <dataValidation allowBlank="1" showInputMessage="1" showErrorMessage="1" prompt="Enter the number of payments to be made in a year in this cell" sqref="E6" xr:uid="{BDB2039C-A792-4B0F-936E-FA57CADEFA4E}"/>
    <dataValidation allowBlank="1" showInputMessage="1" showErrorMessage="1" prompt="Enter the amount of extra payment in this cell" sqref="E10" xr:uid="{406A9EE1-4130-470E-B9D9-EBC8216C4E6C}"/>
    <dataValidation allowBlank="1" showInputMessage="1" showErrorMessage="1" prompt="Automatically updated scheduled payment amount" sqref="I3" xr:uid="{B12F70F7-7417-4245-9ACA-1041597EE217}"/>
    <dataValidation allowBlank="1" showInputMessage="1" showErrorMessage="1" prompt="Automatically updated scheduled number of payments" sqref="I4" xr:uid="{2A69910F-0777-49CF-9161-360F1A7A5384}"/>
    <dataValidation allowBlank="1" showInputMessage="1" showErrorMessage="1" prompt="Automatically updated actual number of payments" sqref="I5" xr:uid="{C133705F-5F9D-42C2-985F-EC70F1AF907A}"/>
    <dataValidation allowBlank="1" showInputMessage="1" showErrorMessage="1" prompt="This workbook produces a loan amortization schedule that calculates total interest and total payments &amp; includes the option for extra payments" sqref="A1" xr:uid="{8669D9A3-520A-4CA7-8D4F-2D744F0367BB}"/>
    <dataValidation allowBlank="1" showInputMessage="1" showErrorMessage="1" prompt="Enter loan values in cells E3 to E7 and E9. Description of each loan value is in column C. Payment Schedule table starting in cell B11 will automatically update" sqref="C2" xr:uid="{77CA9A9D-8B2B-4EB6-9D39-A0ECA62AF87F}"/>
    <dataValidation allowBlank="1" showInputMessage="1" showErrorMessage="1" prompt="Loan Summary fields from I3 to I7 are automatically adjusted based on the values entered. Enter the Lender's name in I9" sqref="G2" xr:uid="{A9F98F78-EE49-4803-A983-CA8C3BDCD313}"/>
    <dataValidation allowBlank="1" showInputMessage="1" showErrorMessage="1" prompt="Worksheet title is in this cell. Enter loan values in cells E3 to E7 &amp; extra payments in cell E9, loan summary in column I &amp; Payment Schedule table will automatically update" sqref="B1" xr:uid="{FD6A4553-129E-4E40-9B27-5A4D4AF08314}"/>
    <dataValidation allowBlank="1" showInputMessage="1" showErrorMessage="1" prompt="Automatically updated total early payments" sqref="I6" xr:uid="{8E1565F7-6A1A-45FD-ABF9-DA3802932F67}"/>
    <dataValidation allowBlank="1" showInputMessage="1" showErrorMessage="1" prompt="Payment number is automatically updated in this column" sqref="B12" xr:uid="{F5852B1B-04C8-4432-BB11-5D666D514F0C}"/>
    <dataValidation allowBlank="1" showInputMessage="1" showErrorMessage="1" prompt="Payment date is automatically updated in this column" sqref="C12" xr:uid="{21404906-E881-4C79-9715-D35001DFC86B}"/>
    <dataValidation allowBlank="1" showInputMessage="1" showErrorMessage="1" prompt="Beginning balance is automatically updated in this column" sqref="D12" xr:uid="{4EC848F2-7FDA-4FDA-B464-79B9CCE1954A}"/>
    <dataValidation allowBlank="1" showInputMessage="1" showErrorMessage="1" prompt="Scheduled payment is automatically updated in this column" sqref="E12" xr:uid="{AB75F36D-18EC-4BCE-AFA6-D3220F891DCB}"/>
    <dataValidation allowBlank="1" showInputMessage="1" showErrorMessage="1" prompt="Extra payment is automatically updated in this column" sqref="F12" xr:uid="{DDEB80B0-378D-4CEB-8883-DDB9722F27C0}"/>
    <dataValidation allowBlank="1" showInputMessage="1" showErrorMessage="1" prompt="Total payment is automatically updated in this column" sqref="G12" xr:uid="{BAA7B226-F688-4C77-AB41-73B951E0ED11}"/>
    <dataValidation allowBlank="1" showInputMessage="1" showErrorMessage="1" prompt="Principal is automatically updated in this column" sqref="H12" xr:uid="{BFD79FA4-9D08-4967-8781-31ADE4BBB0FE}"/>
    <dataValidation allowBlank="1" showInputMessage="1" showErrorMessage="1" prompt="Interest is automatically updated in this column" sqref="I12" xr:uid="{E9964332-89A4-449C-BF33-6FE2E9CC37BD}"/>
    <dataValidation allowBlank="1" showInputMessage="1" showErrorMessage="1" prompt="Ending balance is automatically updated in this column" sqref="J12" xr:uid="{9B36EEC0-BDDD-466D-B5D9-C279D50B41E4}"/>
    <dataValidation allowBlank="1" showInputMessage="1" showErrorMessage="1" prompt="Cumulative interest is automatically updated in this column" sqref="K12" xr:uid="{B33879E6-041F-4371-B227-9F33895523DD}"/>
    <dataValidation allowBlank="1" showInputMessage="1" showErrorMessage="1" prompt="Enter the name of the lender in this cell" sqref="H10:I10" xr:uid="{B6D35E7A-6E6D-4220-8AD0-46FF3E41A5DB}"/>
  </dataValidations>
  <printOptions horizontalCentered="1"/>
  <pageMargins left="0.4" right="0.4" top="0.4" bottom="0.5" header="0.3" footer="0.3"/>
  <pageSetup scale="7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68</vt:i4>
      </vt:variant>
    </vt:vector>
  </HeadingPairs>
  <TitlesOfParts>
    <vt:vector size="72" baseType="lpstr">
      <vt:lpstr>House Rate 1</vt:lpstr>
      <vt:lpstr>House Rate 2</vt:lpstr>
      <vt:lpstr>Car rate 1</vt:lpstr>
      <vt:lpstr>Car rate 2</vt:lpstr>
      <vt:lpstr>'Car rate 1'!ColumnTitle1</vt:lpstr>
      <vt:lpstr>'Car rate 2'!ColumnTitle1</vt:lpstr>
      <vt:lpstr>'House Rate 1'!ColumnTitle1</vt:lpstr>
      <vt:lpstr>'House Rate 2'!ColumnTitle1</vt:lpstr>
      <vt:lpstr>'Car rate 1'!End_Bal</vt:lpstr>
      <vt:lpstr>'Car rate 2'!End_Bal</vt:lpstr>
      <vt:lpstr>'House Rate 1'!End_Bal</vt:lpstr>
      <vt:lpstr>'House Rate 2'!End_Bal</vt:lpstr>
      <vt:lpstr>'Car rate 1'!ExtraPayments</vt:lpstr>
      <vt:lpstr>'Car rate 2'!ExtraPayments</vt:lpstr>
      <vt:lpstr>'House Rate 1'!ExtraPayments</vt:lpstr>
      <vt:lpstr>'House Rate 2'!ExtraPayments</vt:lpstr>
      <vt:lpstr>'Car rate 1'!InterestRate</vt:lpstr>
      <vt:lpstr>'Car rate 2'!InterestRate</vt:lpstr>
      <vt:lpstr>'House Rate 1'!InterestRate</vt:lpstr>
      <vt:lpstr>'House Rate 2'!InterestRate</vt:lpstr>
      <vt:lpstr>'Car rate 1'!LenderName</vt:lpstr>
      <vt:lpstr>'Car rate 2'!LenderName</vt:lpstr>
      <vt:lpstr>'House Rate 1'!LenderName</vt:lpstr>
      <vt:lpstr>'House Rate 2'!LenderName</vt:lpstr>
      <vt:lpstr>'Car rate 1'!LoanAmount</vt:lpstr>
      <vt:lpstr>'Car rate 2'!LoanAmount</vt:lpstr>
      <vt:lpstr>'House Rate 1'!LoanAmount</vt:lpstr>
      <vt:lpstr>'House Rate 2'!LoanAmount</vt:lpstr>
      <vt:lpstr>'Car rate 1'!LoanPeriod</vt:lpstr>
      <vt:lpstr>'Car rate 2'!LoanPeriod</vt:lpstr>
      <vt:lpstr>'House Rate 1'!LoanPeriod</vt:lpstr>
      <vt:lpstr>'House Rate 2'!LoanPeriod</vt:lpstr>
      <vt:lpstr>'Car rate 1'!LoanStartDate</vt:lpstr>
      <vt:lpstr>'Car rate 2'!LoanStartDate</vt:lpstr>
      <vt:lpstr>'House Rate 1'!LoanStartDate</vt:lpstr>
      <vt:lpstr>'House Rate 2'!LoanStartDate</vt:lpstr>
      <vt:lpstr>'Car rate 1'!PaymentsPerYear</vt:lpstr>
      <vt:lpstr>'Car rate 2'!PaymentsPerYear</vt:lpstr>
      <vt:lpstr>'House Rate 1'!PaymentsPerYear</vt:lpstr>
      <vt:lpstr>'House Rate 2'!PaymentsPerYear</vt:lpstr>
      <vt:lpstr>'Car rate 1'!Print_Area</vt:lpstr>
      <vt:lpstr>'Car rate 2'!Print_Area</vt:lpstr>
      <vt:lpstr>'House Rate 1'!Print_Area</vt:lpstr>
      <vt:lpstr>'House Rate 2'!Print_Area</vt:lpstr>
      <vt:lpstr>'Car rate 1'!Print_Titles</vt:lpstr>
      <vt:lpstr>'Car rate 2'!Print_Titles</vt:lpstr>
      <vt:lpstr>'House Rate 1'!Print_Titles</vt:lpstr>
      <vt:lpstr>'House Rate 2'!Print_Titles</vt:lpstr>
      <vt:lpstr>'Car rate 1'!RowTitleRegion1..E9</vt:lpstr>
      <vt:lpstr>'Car rate 2'!RowTitleRegion1..E9</vt:lpstr>
      <vt:lpstr>'House Rate 1'!RowTitleRegion1..E9</vt:lpstr>
      <vt:lpstr>'House Rate 2'!RowTitleRegion1..E9</vt:lpstr>
      <vt:lpstr>'Car rate 1'!RowTitleRegion2..I7</vt:lpstr>
      <vt:lpstr>'Car rate 2'!RowTitleRegion2..I7</vt:lpstr>
      <vt:lpstr>'House Rate 1'!RowTitleRegion2..I7</vt:lpstr>
      <vt:lpstr>'House Rate 2'!RowTitleRegion2..I7</vt:lpstr>
      <vt:lpstr>'Car rate 1'!RowTitleRegion3..E9</vt:lpstr>
      <vt:lpstr>'Car rate 2'!RowTitleRegion3..E9</vt:lpstr>
      <vt:lpstr>'House Rate 1'!RowTitleRegion3..E9</vt:lpstr>
      <vt:lpstr>'House Rate 2'!RowTitleRegion3..E9</vt:lpstr>
      <vt:lpstr>'Car rate 1'!RowTitleRegion4..H9</vt:lpstr>
      <vt:lpstr>'Car rate 2'!RowTitleRegion4..H9</vt:lpstr>
      <vt:lpstr>'House Rate 1'!RowTitleRegion4..H9</vt:lpstr>
      <vt:lpstr>'House Rate 2'!RowTitleRegion4..H9</vt:lpstr>
      <vt:lpstr>'Car rate 1'!ScheduledNumberOfPayments</vt:lpstr>
      <vt:lpstr>'Car rate 2'!ScheduledNumberOfPayments</vt:lpstr>
      <vt:lpstr>'House Rate 1'!ScheduledNumberOfPayments</vt:lpstr>
      <vt:lpstr>'House Rate 2'!ScheduledNumberOfPayments</vt:lpstr>
      <vt:lpstr>'Car rate 1'!ScheduledPayment</vt:lpstr>
      <vt:lpstr>'Car rate 2'!ScheduledPayment</vt:lpstr>
      <vt:lpstr>'House Rate 1'!ScheduledPayment</vt:lpstr>
      <vt:lpstr>'House Rate 2'!ScheduledPayment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Tyrese Gould Jacinto</dc:creator>
  <cp:lastModifiedBy>Tyrese Gould Jacinto</cp:lastModifiedBy>
  <cp:lastPrinted>2019-08-17T12:22:33Z</cp:lastPrinted>
  <dcterms:created xsi:type="dcterms:W3CDTF">2018-09-16T16:18:50Z</dcterms:created>
  <dcterms:modified xsi:type="dcterms:W3CDTF">2019-08-17T12:30:29Z</dcterms:modified>
</cp:coreProperties>
</file>